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CPUC_DOE2\GeneralDocumentation\VRF_Dev\Defrost\"/>
    </mc:Choice>
  </mc:AlternateContent>
  <bookViews>
    <workbookView xWindow="120" yWindow="105" windowWidth="12180" windowHeight="6675"/>
  </bookViews>
  <sheets>
    <sheet name="DefF" sheetId="13" r:id="rId1"/>
    <sheet name="Cap&amp;Pwr" sheetId="11" r:id="rId2"/>
    <sheet name="VRFCoilUA" sheetId="14" r:id="rId3"/>
  </sheets>
  <calcPr calcId="152511"/>
</workbook>
</file>

<file path=xl/calcChain.xml><?xml version="1.0" encoding="utf-8"?>
<calcChain xmlns="http://schemas.openxmlformats.org/spreadsheetml/2006/main">
  <c r="D6" i="14" l="1"/>
  <c r="E6" i="14"/>
  <c r="F6" i="14"/>
  <c r="H10" i="11"/>
  <c r="C9" i="13"/>
  <c r="D9" i="13"/>
  <c r="C10" i="13"/>
  <c r="D10" i="13"/>
  <c r="H7" i="14" l="1"/>
  <c r="H10" i="13"/>
  <c r="M10" i="13"/>
  <c r="F29" i="14" l="1"/>
  <c r="F28" i="14"/>
  <c r="E34" i="14" l="1"/>
  <c r="D35" i="14"/>
  <c r="E35" i="14" s="1"/>
  <c r="F30" i="14"/>
  <c r="E38" i="14" l="1"/>
  <c r="E37" i="14"/>
  <c r="D37" i="14"/>
  <c r="D38" i="14"/>
  <c r="D36" i="14"/>
  <c r="F16" i="14"/>
  <c r="F17" i="14" s="1"/>
  <c r="F11" i="14"/>
  <c r="F9" i="14"/>
  <c r="E16" i="14"/>
  <c r="E17" i="14" s="1"/>
  <c r="E24" i="14" s="1"/>
  <c r="E11" i="14"/>
  <c r="E9" i="14"/>
  <c r="D17" i="14"/>
  <c r="D24" i="14" s="1"/>
  <c r="I16" i="14"/>
  <c r="D16" i="14"/>
  <c r="D20" i="14" l="1"/>
  <c r="D19" i="14"/>
  <c r="F12" i="14"/>
  <c r="E12" i="14"/>
  <c r="E36" i="14"/>
  <c r="E39" i="14" s="1"/>
  <c r="E40" i="14" s="1"/>
  <c r="E41" i="14" s="1"/>
  <c r="E42" i="14" s="1"/>
  <c r="D39" i="14"/>
  <c r="D40" i="14" s="1"/>
  <c r="F24" i="14"/>
  <c r="F20" i="14"/>
  <c r="F19" i="14"/>
  <c r="E20" i="14"/>
  <c r="E19" i="14"/>
  <c r="D11" i="14"/>
  <c r="D9" i="14" l="1"/>
  <c r="D12" i="14" s="1"/>
  <c r="L10" i="13" l="1"/>
  <c r="L9" i="13"/>
  <c r="K10" i="13"/>
  <c r="K9" i="13"/>
  <c r="M9" i="13" s="1"/>
  <c r="N9" i="13" s="1"/>
  <c r="N10" i="13"/>
  <c r="M8" i="13"/>
  <c r="I9" i="13" l="1"/>
  <c r="G10" i="13"/>
  <c r="I10" i="13" s="1"/>
  <c r="H8" i="13"/>
  <c r="H9" i="13"/>
  <c r="G9" i="13"/>
  <c r="B9" i="13"/>
  <c r="N14" i="13" l="1"/>
  <c r="N13" i="13"/>
  <c r="N12" i="13"/>
  <c r="N11" i="13"/>
  <c r="N8" i="13"/>
  <c r="I8" i="13"/>
  <c r="I11" i="13"/>
  <c r="I12" i="13"/>
  <c r="I13" i="13"/>
  <c r="I14" i="13"/>
  <c r="D11" i="11" l="1"/>
  <c r="D12" i="11"/>
  <c r="D13" i="11"/>
  <c r="D14" i="11"/>
  <c r="D10" i="11"/>
  <c r="O14" i="11"/>
  <c r="O13" i="11"/>
  <c r="O12" i="11"/>
  <c r="O11" i="11"/>
  <c r="O10" i="11"/>
  <c r="L14" i="11"/>
  <c r="L13" i="11"/>
  <c r="M13" i="11" s="1"/>
  <c r="L12" i="11"/>
  <c r="L11" i="11"/>
  <c r="M11" i="11" s="1"/>
  <c r="L10" i="11"/>
  <c r="N10" i="11" s="1"/>
  <c r="N14" i="11"/>
  <c r="M14" i="11"/>
  <c r="N13" i="11"/>
  <c r="N12" i="11"/>
  <c r="M12" i="11"/>
  <c r="N11" i="11"/>
  <c r="M10" i="11" l="1"/>
  <c r="K11" i="13" l="1"/>
  <c r="K12" i="13"/>
  <c r="K13" i="13"/>
  <c r="K14" i="13"/>
  <c r="B8" i="13" l="1"/>
  <c r="C8" i="13"/>
  <c r="L12" i="13"/>
  <c r="M12" i="13" s="1"/>
  <c r="L13" i="13"/>
  <c r="M13" i="13" s="1"/>
  <c r="L14" i="13"/>
  <c r="M14" i="13" s="1"/>
  <c r="L11" i="13"/>
  <c r="M11" i="13" s="1"/>
  <c r="D12" i="13"/>
  <c r="C12" i="13"/>
  <c r="D13" i="13"/>
  <c r="C13" i="13"/>
  <c r="D14" i="13"/>
  <c r="C14" i="13"/>
  <c r="C11" i="13"/>
  <c r="D11" i="13"/>
  <c r="G14" i="13"/>
  <c r="H14" i="13" s="1"/>
  <c r="G13" i="13"/>
  <c r="H13" i="13" s="1"/>
  <c r="G12" i="13"/>
  <c r="H12" i="13" s="1"/>
  <c r="G11" i="13"/>
  <c r="H11" i="13" s="1"/>
  <c r="D8" i="13" l="1"/>
  <c r="K8" i="13"/>
  <c r="G8" i="13"/>
  <c r="E11" i="11"/>
  <c r="E12" i="11"/>
  <c r="E13" i="11"/>
  <c r="E14" i="11"/>
  <c r="E10" i="11"/>
  <c r="L8" i="13" l="1"/>
  <c r="C11" i="11"/>
  <c r="H11" i="11" s="1"/>
  <c r="C10" i="11"/>
  <c r="J10" i="11"/>
  <c r="I10" i="11"/>
  <c r="I11" i="11" l="1"/>
  <c r="J11" i="11" s="1"/>
  <c r="C12" i="11"/>
  <c r="F11" i="11"/>
  <c r="F10" i="11"/>
  <c r="I12" i="11" l="1"/>
  <c r="C13" i="11"/>
  <c r="H12" i="11"/>
  <c r="C14" i="11" l="1"/>
  <c r="H13" i="11"/>
  <c r="I13" i="11"/>
  <c r="J13" i="11" s="1"/>
  <c r="F13" i="11"/>
  <c r="F12" i="11"/>
  <c r="J12" i="11"/>
  <c r="I14" i="11" l="1"/>
  <c r="J14" i="11" s="1"/>
  <c r="H14" i="11"/>
  <c r="F14" i="11"/>
</calcChain>
</file>

<file path=xl/sharedStrings.xml><?xml version="1.0" encoding="utf-8"?>
<sst xmlns="http://schemas.openxmlformats.org/spreadsheetml/2006/main" count="159" uniqueCount="119">
  <si>
    <t>Q/Qs</t>
  </si>
  <si>
    <t>P/Ps</t>
  </si>
  <si>
    <t>dW</t>
  </si>
  <si>
    <t>P/Q</t>
  </si>
  <si>
    <t>EPRI Defrost Curves</t>
  </si>
  <si>
    <t>Timed Defrost</t>
  </si>
  <si>
    <t>CapF</t>
  </si>
  <si>
    <t>PwrF</t>
  </si>
  <si>
    <t>DefF</t>
  </si>
  <si>
    <t>Duration</t>
  </si>
  <si>
    <t>Cycle period</t>
  </si>
  <si>
    <t>&lt;3 min</t>
  </si>
  <si>
    <t>3-5 min</t>
  </si>
  <si>
    <t>5-7 min</t>
  </si>
  <si>
    <t>&gt;7 min</t>
  </si>
  <si>
    <t>existing</t>
  </si>
  <si>
    <t>Timed</t>
  </si>
  <si>
    <t>Demand</t>
  </si>
  <si>
    <t>EPRI Paper</t>
  </si>
  <si>
    <t>CapFi</t>
  </si>
  <si>
    <t>Temp terminated</t>
  </si>
  <si>
    <t>120 minute period at low dW</t>
  </si>
  <si>
    <t>min</t>
  </si>
  <si>
    <t>ratio</t>
  </si>
  <si>
    <t>accum.</t>
  </si>
  <si>
    <t>run time</t>
  </si>
  <si>
    <t>Temp init, temp terminated</t>
  </si>
  <si>
    <t>Time initiated</t>
  </si>
  <si>
    <t>EPRI tests are described as "timed frost-defrost control set to 45 or 90 minutes"</t>
  </si>
  <si>
    <t>EPRI defrost length = 7.8 - 5.7 * CapFi</t>
  </si>
  <si>
    <t>where CapFi is the capacity ratio at the start of the defrost period (instantaneous value)</t>
  </si>
  <si>
    <t>EPRI dry coil defrost length = 1.1 minutes based on field tests</t>
  </si>
  <si>
    <t>Comment that "dry coil defrosts are substantially shorter than even lightly frosted coils"</t>
  </si>
  <si>
    <t>DefF = 7.8 - 5.7 * CapFi</t>
  </si>
  <si>
    <t>To capture adjustable cycle length for demand defrost:</t>
  </si>
  <si>
    <t>Accumulated run time varies with dW due to Temp init</t>
  </si>
  <si>
    <t>120 min @ dW = 0</t>
  </si>
  <si>
    <t>60 min @ dW = 0.0014</t>
  </si>
  <si>
    <t>Accumulated Run Time (frosting mode) =</t>
  </si>
  <si>
    <t>DefF = (7.8 - 5.7 * CapFi) * 60/AccumRunTime</t>
  </si>
  <si>
    <t>AccumRunTime = 120 - 60 * dW / 0.0014</t>
  </si>
  <si>
    <t>same as for TIMED</t>
  </si>
  <si>
    <t>Demand should always be</t>
  </si>
  <si>
    <t>less than or equal to Timed</t>
  </si>
  <si>
    <t>Accum</t>
  </si>
  <si>
    <t>Runtime</t>
  </si>
  <si>
    <t>C0</t>
  </si>
  <si>
    <t>C1</t>
  </si>
  <si>
    <t>Y = C0 + C1 * dW * t</t>
  </si>
  <si>
    <t>Y = C0 + C1 * dW</t>
  </si>
  <si>
    <t>Don't go to zero for demand</t>
  </si>
  <si>
    <t>frac</t>
  </si>
  <si>
    <t>Demand Defrost</t>
  </si>
  <si>
    <t>Existing DOE2.2 Curves</t>
  </si>
  <si>
    <t>Demand will be differentiated from timed via accumulated runtime variable.</t>
  </si>
  <si>
    <t>9% power penalty during normal operation at all times!</t>
  </si>
  <si>
    <t>Ratio</t>
  </si>
  <si>
    <t>See DefF</t>
  </si>
  <si>
    <t>Use for Timed and Demand</t>
  </si>
  <si>
    <t>Laminar air flow</t>
  </si>
  <si>
    <t>Face velocity</t>
  </si>
  <si>
    <t>fpm</t>
  </si>
  <si>
    <t>Fins/inch</t>
  </si>
  <si>
    <t>spacing</t>
  </si>
  <si>
    <t>feet</t>
  </si>
  <si>
    <t>Fin thickness</t>
  </si>
  <si>
    <t>fin t/ft</t>
  </si>
  <si>
    <t>in</t>
  </si>
  <si>
    <t>gap</t>
  </si>
  <si>
    <t>Tube spacing</t>
  </si>
  <si>
    <t>Tube dia</t>
  </si>
  <si>
    <t>UA</t>
  </si>
  <si>
    <t>Rows</t>
  </si>
  <si>
    <t>mph</t>
  </si>
  <si>
    <t>Gc</t>
  </si>
  <si>
    <t>lbm/hr-sf</t>
  </si>
  <si>
    <t>Gfr</t>
  </si>
  <si>
    <t>at face</t>
  </si>
  <si>
    <t>in coil</t>
  </si>
  <si>
    <t>mu</t>
  </si>
  <si>
    <t>Red</t>
  </si>
  <si>
    <t>Rexb</t>
  </si>
  <si>
    <t>j</t>
  </si>
  <si>
    <t>h = j * Gc * Cp / Pr^2/3</t>
  </si>
  <si>
    <t>Cp</t>
  </si>
  <si>
    <t>Pr</t>
  </si>
  <si>
    <t>h</t>
  </si>
  <si>
    <t>typ inside film</t>
  </si>
  <si>
    <t>vertical plate 3 ft tall, DT = 35</t>
  </si>
  <si>
    <t>convect</t>
  </si>
  <si>
    <t>radiant</t>
  </si>
  <si>
    <t>total nat conv air film</t>
  </si>
  <si>
    <t>Example</t>
  </si>
  <si>
    <t>Rair</t>
  </si>
  <si>
    <t>Normal</t>
  </si>
  <si>
    <t>Nat conv</t>
  </si>
  <si>
    <t>R = 1/UA = Rair + Rmedia + Rrefg</t>
  </si>
  <si>
    <t>Rtot</t>
  </si>
  <si>
    <t>Rair ~ 1/hair</t>
  </si>
  <si>
    <t>Rmedia</t>
  </si>
  <si>
    <t>Rrefg</t>
  </si>
  <si>
    <t>incr inversly to h</t>
  </si>
  <si>
    <t>ASHRAE 2013 Handbook, Eq T9.14</t>
  </si>
  <si>
    <t>Since only half of heat exchanger is available, decrease by half again</t>
  </si>
  <si>
    <t>UAFrost</t>
  </si>
  <si>
    <t>Flow ratio</t>
  </si>
  <si>
    <t>Existing DOE2 Method</t>
  </si>
  <si>
    <t>New method for TIMED control</t>
  </si>
  <si>
    <t>New method for ON-DEMAND control</t>
  </si>
  <si>
    <t>Carrier Demand Defrost Method:</t>
  </si>
  <si>
    <t>Use EPRI CapF and PwrF curves for both timed and demand defrost.</t>
  </si>
  <si>
    <t>Calculation of surface heat transfer coefficent for a typical heat exchanger</t>
  </si>
  <si>
    <t>Calculation of surface resistance due to combined natural convection and radiation</t>
  </si>
  <si>
    <t>total; slightly below the 55 fpm value from the heat exchanger calcs.</t>
  </si>
  <si>
    <t>Rated UA value for the outdoor unit from a DOE2.3 VRF simulation</t>
  </si>
  <si>
    <t>degradation factor for outdoor unit due to operation in natural convection</t>
  </si>
  <si>
    <t>UA Ratio</t>
  </si>
  <si>
    <t>Calculation of UA degradation factor</t>
  </si>
  <si>
    <t>Calculation of UA degradation of VRF outdoor unit during defrost with split coil mode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</si>
</sst>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\ "/>
    <numFmt numFmtId="165" formatCode="#,##0.0\ "/>
    <numFmt numFmtId="166" formatCode="#,##0.00\ "/>
    <numFmt numFmtId="167" formatCode="#,##0.000\ "/>
    <numFmt numFmtId="168" formatCode="#,##0.0000\ "/>
    <numFmt numFmtId="169" formatCode="#,##0.00000\ "/>
    <numFmt numFmtId="170" formatCode="0.000"/>
    <numFmt numFmtId="171" formatCode="#,##0.000000\ 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0" fontId="2" fillId="0" borderId="0" xfId="0" applyFont="1"/>
    <xf numFmtId="166" fontId="1" fillId="0" borderId="0" xfId="0" applyNumberFormat="1" applyFont="1"/>
    <xf numFmtId="0" fontId="1" fillId="0" borderId="0" xfId="0" applyFont="1"/>
    <xf numFmtId="166" fontId="3" fillId="0" borderId="0" xfId="0" applyNumberFormat="1" applyFont="1"/>
    <xf numFmtId="0" fontId="3" fillId="0" borderId="0" xfId="0" applyFont="1"/>
    <xf numFmtId="0" fontId="0" fillId="0" borderId="0" xfId="0" applyAlignment="1">
      <alignment horizontal="right"/>
    </xf>
    <xf numFmtId="170" fontId="0" fillId="0" borderId="0" xfId="0" applyNumberFormat="1"/>
    <xf numFmtId="171" fontId="0" fillId="0" borderId="0" xfId="0" applyNumberForma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2:S39"/>
  <sheetViews>
    <sheetView tabSelected="1" workbookViewId="0">
      <selection activeCell="F9" sqref="F9"/>
    </sheetView>
  </sheetViews>
  <sheetFormatPr defaultRowHeight="15" x14ac:dyDescent="0.25"/>
  <cols>
    <col min="1" max="1" width="4.5703125" customWidth="1"/>
    <col min="2" max="2" width="9.28515625" customWidth="1"/>
    <col min="4" max="4" width="9.5703125" bestFit="1" customWidth="1"/>
    <col min="5" max="5" width="6.7109375" customWidth="1"/>
    <col min="9" max="10" width="6.85546875" customWidth="1"/>
    <col min="21" max="21" width="4.42578125" customWidth="1"/>
  </cols>
  <sheetData>
    <row r="2" spans="2:19" x14ac:dyDescent="0.25">
      <c r="F2" s="7" t="s">
        <v>107</v>
      </c>
      <c r="K2" s="7" t="s">
        <v>108</v>
      </c>
      <c r="R2" s="7"/>
    </row>
    <row r="3" spans="2:19" x14ac:dyDescent="0.25">
      <c r="C3" s="7" t="s">
        <v>106</v>
      </c>
      <c r="G3" t="s">
        <v>18</v>
      </c>
    </row>
    <row r="4" spans="2:19" x14ac:dyDescent="0.25">
      <c r="C4" t="s">
        <v>16</v>
      </c>
      <c r="D4" t="s">
        <v>17</v>
      </c>
      <c r="G4" t="s">
        <v>27</v>
      </c>
      <c r="L4" t="s">
        <v>26</v>
      </c>
    </row>
    <row r="5" spans="2:19" x14ac:dyDescent="0.25">
      <c r="C5" t="s">
        <v>15</v>
      </c>
      <c r="D5" t="s">
        <v>15</v>
      </c>
      <c r="F5" t="s">
        <v>24</v>
      </c>
      <c r="G5" t="s">
        <v>20</v>
      </c>
      <c r="K5" t="s">
        <v>24</v>
      </c>
      <c r="L5" t="s">
        <v>21</v>
      </c>
    </row>
    <row r="6" spans="2:19" x14ac:dyDescent="0.25">
      <c r="B6" t="s">
        <v>2</v>
      </c>
      <c r="C6" t="s">
        <v>8</v>
      </c>
      <c r="D6" t="s">
        <v>8</v>
      </c>
      <c r="F6" t="s">
        <v>25</v>
      </c>
      <c r="G6" t="s">
        <v>19</v>
      </c>
      <c r="H6" t="s">
        <v>8</v>
      </c>
      <c r="I6" t="s">
        <v>8</v>
      </c>
      <c r="K6" t="s">
        <v>25</v>
      </c>
      <c r="L6" t="s">
        <v>19</v>
      </c>
      <c r="M6" t="s">
        <v>8</v>
      </c>
      <c r="N6" t="s">
        <v>8</v>
      </c>
    </row>
    <row r="7" spans="2:19" x14ac:dyDescent="0.25">
      <c r="B7" t="s">
        <v>23</v>
      </c>
      <c r="C7" t="s">
        <v>22</v>
      </c>
      <c r="D7" t="s">
        <v>22</v>
      </c>
      <c r="F7" t="s">
        <v>22</v>
      </c>
      <c r="G7" t="s">
        <v>23</v>
      </c>
      <c r="H7" t="s">
        <v>22</v>
      </c>
      <c r="I7" t="s">
        <v>51</v>
      </c>
      <c r="K7" t="s">
        <v>22</v>
      </c>
      <c r="L7" t="s">
        <v>23</v>
      </c>
      <c r="M7" t="s">
        <v>22</v>
      </c>
      <c r="N7" t="s">
        <v>51</v>
      </c>
    </row>
    <row r="8" spans="2:19" x14ac:dyDescent="0.25">
      <c r="B8" s="6">
        <f>+B11/100</f>
        <v>9.9999999999999995E-7</v>
      </c>
      <c r="C8" s="3">
        <f>60*0.058333</f>
        <v>3.4999800000000003</v>
      </c>
      <c r="D8" s="10">
        <f t="shared" ref="D8:D14" si="0">60 / (1 + 0.01446/B8)</f>
        <v>4.1490906576308684E-3</v>
      </c>
      <c r="F8">
        <v>60</v>
      </c>
      <c r="G8" s="3">
        <f t="shared" ref="G8:G14" si="1">MIN(1,1.02-5.32*B8*F8)</f>
        <v>1</v>
      </c>
      <c r="H8" s="2">
        <f>1.1+B8*100000</f>
        <v>1.2000000000000002</v>
      </c>
      <c r="I8" s="13">
        <f t="shared" ref="I8:I13" si="2">H8/(F8+H8)</f>
        <v>1.9607843137254905E-2</v>
      </c>
      <c r="J8" s="13"/>
      <c r="K8" s="1">
        <f>120 - 60 * B8 / 0.0014</f>
        <v>119.95714285714286</v>
      </c>
      <c r="L8" s="3">
        <f>MIN(1,1.02-5.32*B8*K8)</f>
        <v>1</v>
      </c>
      <c r="M8" s="3">
        <f>H8*60/K8</f>
        <v>0.60021436227224023</v>
      </c>
      <c r="N8" s="13">
        <f t="shared" ref="N8:N13" si="3">M8/(K8+M8)</f>
        <v>4.9786622410762258E-3</v>
      </c>
      <c r="R8" s="3"/>
      <c r="S8" s="4"/>
    </row>
    <row r="9" spans="2:19" x14ac:dyDescent="0.25">
      <c r="B9" s="6">
        <f>+B11/10</f>
        <v>1.0000000000000001E-5</v>
      </c>
      <c r="C9" s="3">
        <f>60*0.058333</f>
        <v>3.4999800000000003</v>
      </c>
      <c r="D9" s="10">
        <f t="shared" si="0"/>
        <v>4.1465100207325502E-2</v>
      </c>
      <c r="F9">
        <v>60</v>
      </c>
      <c r="G9" s="3">
        <f t="shared" si="1"/>
        <v>1</v>
      </c>
      <c r="H9" s="2">
        <f>1.1+B9*100000</f>
        <v>2.1</v>
      </c>
      <c r="I9" s="13">
        <f t="shared" ref="I9:I10" si="4">H9/(F9+H9)</f>
        <v>3.3816425120772944E-2</v>
      </c>
      <c r="J9" s="13"/>
      <c r="K9" s="1">
        <f t="shared" ref="K9:K14" si="5">120 - 60 * B9 / 0.0014</f>
        <v>119.57142857142857</v>
      </c>
      <c r="L9" s="3">
        <f t="shared" ref="L9:L10" si="6">MIN(1,1.02-5.32*B9*K9)</f>
        <v>1</v>
      </c>
      <c r="M9" s="3">
        <f t="shared" ref="M9" si="7">H9*60/K9</f>
        <v>1.053763440860215</v>
      </c>
      <c r="N9" s="13">
        <f t="shared" ref="N9:N10" si="8">M9/(K9+M9)</f>
        <v>8.7358488163306897E-3</v>
      </c>
      <c r="R9" s="3"/>
      <c r="S9" s="4"/>
    </row>
    <row r="10" spans="2:19" x14ac:dyDescent="0.25">
      <c r="B10" s="6">
        <v>6.3E-5</v>
      </c>
      <c r="C10" s="3">
        <f>60*0.058333</f>
        <v>3.4999800000000003</v>
      </c>
      <c r="D10" s="10">
        <f t="shared" si="0"/>
        <v>0.26027680231357153</v>
      </c>
      <c r="F10">
        <v>60</v>
      </c>
      <c r="G10" s="3">
        <f t="shared" si="1"/>
        <v>0.99989040000000007</v>
      </c>
      <c r="H10" s="2">
        <f>7.8-5.7*G10</f>
        <v>2.100624719999999</v>
      </c>
      <c r="I10" s="13">
        <f t="shared" si="4"/>
        <v>3.3826144736406751E-2</v>
      </c>
      <c r="J10" s="13"/>
      <c r="K10" s="1">
        <f t="shared" si="5"/>
        <v>117.3</v>
      </c>
      <c r="L10" s="3">
        <f t="shared" si="6"/>
        <v>0.98068573199999998</v>
      </c>
      <c r="M10" s="3">
        <f>H10*60/K10</f>
        <v>1.0744883478260865</v>
      </c>
      <c r="N10" s="13">
        <f t="shared" si="8"/>
        <v>9.0770263324717396E-3</v>
      </c>
      <c r="R10" s="3"/>
      <c r="S10" s="4"/>
    </row>
    <row r="11" spans="2:19" x14ac:dyDescent="0.25">
      <c r="B11" s="5">
        <v>1E-4</v>
      </c>
      <c r="C11" s="3">
        <f>60*0.058333</f>
        <v>3.4999800000000003</v>
      </c>
      <c r="D11" s="10">
        <f t="shared" si="0"/>
        <v>0.41208791208791212</v>
      </c>
      <c r="F11">
        <v>60</v>
      </c>
      <c r="G11" s="3">
        <f t="shared" si="1"/>
        <v>0.98808000000000007</v>
      </c>
      <c r="H11" s="2">
        <f>7.8-5.7*G11</f>
        <v>2.1679439999999994</v>
      </c>
      <c r="I11" s="13">
        <f t="shared" si="2"/>
        <v>3.4872377313941723E-2</v>
      </c>
      <c r="J11" s="13"/>
      <c r="K11" s="1">
        <f t="shared" si="5"/>
        <v>115.71428571428571</v>
      </c>
      <c r="L11" s="3">
        <f>MIN(1,1.02-5.32*B11*K11)</f>
        <v>0.95843999999999996</v>
      </c>
      <c r="M11" s="2">
        <f t="shared" ref="M11:M14" si="9">(7.8-5.7*L11)*60/K11</f>
        <v>1.2117217777777778</v>
      </c>
      <c r="N11" s="13">
        <f t="shared" si="3"/>
        <v>1.0363150198727389E-2</v>
      </c>
      <c r="R11" s="3"/>
      <c r="S11" s="4"/>
    </row>
    <row r="12" spans="2:19" x14ac:dyDescent="0.25">
      <c r="B12" s="5">
        <v>5.0000000000000001E-4</v>
      </c>
      <c r="C12" s="3">
        <f t="shared" ref="C12:C14" si="10">60*0.058333</f>
        <v>3.4999800000000003</v>
      </c>
      <c r="D12" s="3">
        <f t="shared" si="0"/>
        <v>2.0053475935828877</v>
      </c>
      <c r="F12">
        <v>60</v>
      </c>
      <c r="G12" s="3">
        <f t="shared" si="1"/>
        <v>0.86040000000000005</v>
      </c>
      <c r="H12" s="2">
        <f t="shared" ref="H12:H14" si="11">7.8-5.7*G12</f>
        <v>2.895719999999999</v>
      </c>
      <c r="I12" s="13">
        <f t="shared" si="2"/>
        <v>4.6040016713378894E-2</v>
      </c>
      <c r="J12" s="13"/>
      <c r="K12" s="1">
        <f t="shared" si="5"/>
        <v>98.571428571428569</v>
      </c>
      <c r="L12" s="3">
        <f t="shared" ref="L12:L14" si="12">MIN(1,1.02-5.32*B12*K12)</f>
        <v>0.75780000000000003</v>
      </c>
      <c r="M12" s="2">
        <f t="shared" si="9"/>
        <v>2.1185895652173912</v>
      </c>
      <c r="N12" s="13">
        <f t="shared" si="3"/>
        <v>2.1040710930673018E-2</v>
      </c>
      <c r="R12" s="3"/>
      <c r="S12" s="4"/>
    </row>
    <row r="13" spans="2:19" x14ac:dyDescent="0.25">
      <c r="B13" s="5">
        <v>1E-3</v>
      </c>
      <c r="C13" s="3">
        <f t="shared" si="10"/>
        <v>3.4999800000000003</v>
      </c>
      <c r="D13" s="8">
        <f t="shared" si="0"/>
        <v>3.8809831824062093</v>
      </c>
      <c r="F13">
        <v>60</v>
      </c>
      <c r="G13" s="3">
        <f t="shared" si="1"/>
        <v>0.70080000000000009</v>
      </c>
      <c r="H13" s="2">
        <f t="shared" si="11"/>
        <v>3.805439999999999</v>
      </c>
      <c r="I13" s="13">
        <f t="shared" si="2"/>
        <v>5.9641309581126616E-2</v>
      </c>
      <c r="J13" s="13"/>
      <c r="K13" s="1">
        <f t="shared" si="5"/>
        <v>77.142857142857139</v>
      </c>
      <c r="L13" s="3">
        <f t="shared" si="12"/>
        <v>0.60960000000000003</v>
      </c>
      <c r="M13" s="2">
        <f t="shared" si="9"/>
        <v>3.3641066666666668</v>
      </c>
      <c r="N13" s="13">
        <f t="shared" si="3"/>
        <v>4.178653010224067E-2</v>
      </c>
      <c r="R13" s="3"/>
      <c r="S13" s="4"/>
    </row>
    <row r="14" spans="2:19" x14ac:dyDescent="0.25">
      <c r="B14" s="5">
        <v>1.4E-3</v>
      </c>
      <c r="C14" s="3">
        <f t="shared" si="10"/>
        <v>3.4999800000000003</v>
      </c>
      <c r="D14" s="8">
        <f t="shared" si="0"/>
        <v>5.2963430012610342</v>
      </c>
      <c r="F14">
        <v>60</v>
      </c>
      <c r="G14" s="3">
        <f t="shared" si="1"/>
        <v>0.57311999999999996</v>
      </c>
      <c r="H14" s="2">
        <f t="shared" si="11"/>
        <v>4.5332159999999995</v>
      </c>
      <c r="I14" s="13">
        <f>H14/(F14+H14)</f>
        <v>7.024624342292192E-2</v>
      </c>
      <c r="J14" s="13"/>
      <c r="K14" s="1">
        <f t="shared" si="5"/>
        <v>59.999999999999993</v>
      </c>
      <c r="L14" s="3">
        <f t="shared" si="12"/>
        <v>0.57312000000000007</v>
      </c>
      <c r="M14" s="2">
        <f t="shared" si="9"/>
        <v>4.5332160000000004</v>
      </c>
      <c r="N14" s="13">
        <f>M14/(K14+M14)</f>
        <v>7.0246243422921933E-2</v>
      </c>
      <c r="O14" t="s">
        <v>41</v>
      </c>
      <c r="R14" s="3"/>
      <c r="S14" s="4"/>
    </row>
    <row r="15" spans="2:19" x14ac:dyDescent="0.25">
      <c r="B15" s="9" t="s">
        <v>42</v>
      </c>
      <c r="G15" t="s">
        <v>33</v>
      </c>
      <c r="L15" t="s">
        <v>39</v>
      </c>
      <c r="R15" s="3"/>
      <c r="S15" s="3"/>
    </row>
    <row r="16" spans="2:19" x14ac:dyDescent="0.25">
      <c r="B16" s="9" t="s">
        <v>43</v>
      </c>
      <c r="K16" t="s">
        <v>35</v>
      </c>
    </row>
    <row r="17" spans="2:18" x14ac:dyDescent="0.25">
      <c r="B17" s="11" t="s">
        <v>50</v>
      </c>
      <c r="L17" t="s">
        <v>40</v>
      </c>
    </row>
    <row r="19" spans="2:18" x14ac:dyDescent="0.25">
      <c r="B19" t="s">
        <v>28</v>
      </c>
      <c r="R19" s="12"/>
    </row>
    <row r="21" spans="2:18" x14ac:dyDescent="0.25">
      <c r="B21" t="s">
        <v>29</v>
      </c>
      <c r="R21" s="12"/>
    </row>
    <row r="22" spans="2:18" x14ac:dyDescent="0.25">
      <c r="C22" t="s">
        <v>30</v>
      </c>
    </row>
    <row r="24" spans="2:18" x14ac:dyDescent="0.25">
      <c r="B24" t="s">
        <v>31</v>
      </c>
    </row>
    <row r="25" spans="2:18" x14ac:dyDescent="0.25">
      <c r="C25" t="s">
        <v>32</v>
      </c>
    </row>
    <row r="27" spans="2:18" x14ac:dyDescent="0.25">
      <c r="B27" t="s">
        <v>34</v>
      </c>
    </row>
    <row r="28" spans="2:18" x14ac:dyDescent="0.25">
      <c r="C28" t="s">
        <v>38</v>
      </c>
    </row>
    <row r="29" spans="2:18" x14ac:dyDescent="0.25">
      <c r="D29" t="s">
        <v>36</v>
      </c>
    </row>
    <row r="30" spans="2:18" x14ac:dyDescent="0.25">
      <c r="D30" t="s">
        <v>37</v>
      </c>
    </row>
    <row r="31" spans="2:18" x14ac:dyDescent="0.25">
      <c r="D31" t="s">
        <v>40</v>
      </c>
    </row>
    <row r="34" spans="2:14" x14ac:dyDescent="0.25">
      <c r="B34" s="6" t="s">
        <v>109</v>
      </c>
      <c r="C34" s="3"/>
      <c r="D34" s="3"/>
      <c r="G34" s="3"/>
      <c r="H34" s="2"/>
      <c r="I34" s="13"/>
      <c r="J34" s="13"/>
      <c r="K34" s="1"/>
      <c r="L34" s="3"/>
      <c r="M34" s="2"/>
      <c r="N34" s="13"/>
    </row>
    <row r="35" spans="2:14" x14ac:dyDescent="0.25">
      <c r="B35" t="s">
        <v>9</v>
      </c>
      <c r="C35" t="s">
        <v>10</v>
      </c>
    </row>
    <row r="36" spans="2:14" x14ac:dyDescent="0.25">
      <c r="B36" t="s">
        <v>11</v>
      </c>
      <c r="C36">
        <v>120</v>
      </c>
    </row>
    <row r="37" spans="2:14" x14ac:dyDescent="0.25">
      <c r="B37" t="s">
        <v>12</v>
      </c>
      <c r="C37">
        <v>90</v>
      </c>
    </row>
    <row r="38" spans="2:14" x14ac:dyDescent="0.25">
      <c r="B38" t="s">
        <v>13</v>
      </c>
      <c r="C38">
        <v>60</v>
      </c>
    </row>
    <row r="39" spans="2:14" x14ac:dyDescent="0.25">
      <c r="B39" t="s">
        <v>14</v>
      </c>
      <c r="C39">
        <v>30</v>
      </c>
    </row>
  </sheetData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3:O33"/>
  <sheetViews>
    <sheetView zoomScaleNormal="100" workbookViewId="0">
      <selection activeCell="H10" sqref="H10"/>
    </sheetView>
  </sheetViews>
  <sheetFormatPr defaultRowHeight="15" x14ac:dyDescent="0.25"/>
  <cols>
    <col min="1" max="1" width="4.85546875" customWidth="1"/>
    <col min="2" max="2" width="8.7109375" customWidth="1"/>
    <col min="4" max="6" width="7" customWidth="1"/>
    <col min="7" max="7" width="8.5703125" customWidth="1"/>
    <col min="8" max="8" width="7.7109375" bestFit="1" customWidth="1"/>
    <col min="9" max="9" width="6.7109375" bestFit="1" customWidth="1"/>
    <col min="10" max="10" width="5" bestFit="1" customWidth="1"/>
    <col min="11" max="11" width="4.28515625" customWidth="1"/>
    <col min="12" max="15" width="5.7109375" customWidth="1"/>
  </cols>
  <sheetData>
    <row r="3" spans="2:15" x14ac:dyDescent="0.25">
      <c r="D3" s="7" t="s">
        <v>58</v>
      </c>
      <c r="H3" t="s">
        <v>53</v>
      </c>
      <c r="L3" t="s">
        <v>53</v>
      </c>
    </row>
    <row r="4" spans="2:15" x14ac:dyDescent="0.25">
      <c r="D4" t="s">
        <v>4</v>
      </c>
      <c r="H4" t="s">
        <v>5</v>
      </c>
      <c r="L4" t="s">
        <v>52</v>
      </c>
    </row>
    <row r="5" spans="2:15" x14ac:dyDescent="0.25">
      <c r="D5" t="s">
        <v>6</v>
      </c>
      <c r="E5" t="s">
        <v>7</v>
      </c>
      <c r="F5" t="s">
        <v>56</v>
      </c>
      <c r="H5" t="s">
        <v>6</v>
      </c>
      <c r="I5" t="s">
        <v>7</v>
      </c>
      <c r="J5" t="s">
        <v>56</v>
      </c>
      <c r="M5" t="s">
        <v>6</v>
      </c>
      <c r="N5" t="s">
        <v>7</v>
      </c>
      <c r="O5" t="s">
        <v>56</v>
      </c>
    </row>
    <row r="6" spans="2:15" x14ac:dyDescent="0.25">
      <c r="D6" t="s">
        <v>0</v>
      </c>
      <c r="E6" t="s">
        <v>1</v>
      </c>
      <c r="F6" t="s">
        <v>3</v>
      </c>
      <c r="H6" t="s">
        <v>0</v>
      </c>
      <c r="I6" t="s">
        <v>1</v>
      </c>
      <c r="J6" t="s">
        <v>3</v>
      </c>
      <c r="L6" t="s">
        <v>8</v>
      </c>
      <c r="M6" t="s">
        <v>0</v>
      </c>
      <c r="N6" t="s">
        <v>1</v>
      </c>
      <c r="O6" t="s">
        <v>3</v>
      </c>
    </row>
    <row r="7" spans="2:15" x14ac:dyDescent="0.25">
      <c r="C7" s="12" t="s">
        <v>46</v>
      </c>
      <c r="D7">
        <v>1.02</v>
      </c>
      <c r="E7">
        <v>1</v>
      </c>
      <c r="G7" s="12" t="s">
        <v>46</v>
      </c>
      <c r="H7">
        <v>0.90900000000000003</v>
      </c>
      <c r="I7">
        <v>0.9</v>
      </c>
    </row>
    <row r="8" spans="2:15" x14ac:dyDescent="0.25">
      <c r="B8" t="s">
        <v>44</v>
      </c>
      <c r="C8" s="12" t="s">
        <v>47</v>
      </c>
      <c r="D8">
        <v>-5.32</v>
      </c>
      <c r="E8">
        <v>-1.8</v>
      </c>
      <c r="G8" s="12" t="s">
        <v>47</v>
      </c>
      <c r="H8">
        <v>-107.33</v>
      </c>
      <c r="I8">
        <v>-36.450000000000003</v>
      </c>
    </row>
    <row r="9" spans="2:15" x14ac:dyDescent="0.25">
      <c r="B9" t="s">
        <v>45</v>
      </c>
      <c r="C9" t="s">
        <v>2</v>
      </c>
      <c r="D9" t="s">
        <v>48</v>
      </c>
      <c r="H9" t="s">
        <v>49</v>
      </c>
      <c r="L9" t="s">
        <v>51</v>
      </c>
    </row>
    <row r="10" spans="2:15" x14ac:dyDescent="0.25">
      <c r="B10">
        <v>60</v>
      </c>
      <c r="C10">
        <f>1/1000000</f>
        <v>9.9999999999999995E-7</v>
      </c>
      <c r="D10" s="3">
        <f>MIN(1,D$7+$B10*$C10*D$8/2)</f>
        <v>1</v>
      </c>
      <c r="E10" s="3">
        <f>E$7+$B10*$C10*E$8/2</f>
        <v>0.999946</v>
      </c>
      <c r="F10" s="3">
        <f>E10/D10</f>
        <v>0.999946</v>
      </c>
      <c r="H10" s="3">
        <f>H$7+$C10*H$8</f>
        <v>0.90889267000000007</v>
      </c>
      <c r="I10" s="3">
        <f t="shared" ref="I10:I14" si="0">I$7+$C10*I$8</f>
        <v>0.89996355000000006</v>
      </c>
      <c r="J10" s="3">
        <f>I10/H10</f>
        <v>0.99017582571108198</v>
      </c>
      <c r="L10" s="3">
        <f>1 / (1 + 0.01446/C10)</f>
        <v>6.9151510960514475E-5</v>
      </c>
      <c r="M10" s="3">
        <f>0.875 * (1 - L10)</f>
        <v>0.87493949242790947</v>
      </c>
      <c r="N10" s="3">
        <f>0.954 * (1 - L10)</f>
        <v>0.95393402945854355</v>
      </c>
      <c r="O10" s="3">
        <f t="shared" ref="O10:O14" si="1">N10/M10</f>
        <v>1.0902857142857143</v>
      </c>
    </row>
    <row r="11" spans="2:15" x14ac:dyDescent="0.25">
      <c r="B11">
        <v>60</v>
      </c>
      <c r="C11">
        <f>+C10*100</f>
        <v>9.9999999999999991E-5</v>
      </c>
      <c r="D11" s="3">
        <f t="shared" ref="D11:D14" si="2">MIN(1,D$7+$B11*$C11*D$8/2)</f>
        <v>1</v>
      </c>
      <c r="E11" s="3">
        <f t="shared" ref="E11:E14" si="3">E$7+$B11*$C11*E$8/2</f>
        <v>0.99460000000000004</v>
      </c>
      <c r="F11" s="3">
        <f t="shared" ref="F11:F14" si="4">E11/D11</f>
        <v>0.99460000000000004</v>
      </c>
      <c r="H11" s="3">
        <f t="shared" ref="H11:H14" si="5">H$7+$C11*H$8</f>
        <v>0.89826700000000004</v>
      </c>
      <c r="I11" s="3">
        <f t="shared" si="0"/>
        <v>0.89635500000000001</v>
      </c>
      <c r="J11" s="3">
        <f t="shared" ref="J11:J14" si="6">I11/H11</f>
        <v>0.99787145692761725</v>
      </c>
      <c r="L11" s="3">
        <f t="shared" ref="L11:L14" si="7">1 / (1 + 0.01446/C11)</f>
        <v>6.8681318681318672E-3</v>
      </c>
      <c r="M11" s="3">
        <f t="shared" ref="M11:M14" si="8">0.875 * (1 - L11)</f>
        <v>0.86899038461538458</v>
      </c>
      <c r="N11" s="3">
        <f t="shared" ref="N11:N14" si="9">0.954 * (1 - L11)</f>
        <v>0.94744780219780222</v>
      </c>
      <c r="O11" s="3">
        <f t="shared" si="1"/>
        <v>1.0902857142857143</v>
      </c>
    </row>
    <row r="12" spans="2:15" x14ac:dyDescent="0.25">
      <c r="B12">
        <v>60</v>
      </c>
      <c r="C12">
        <f>+C11*3</f>
        <v>2.9999999999999997E-4</v>
      </c>
      <c r="D12" s="3">
        <f t="shared" si="2"/>
        <v>0.97211999999999998</v>
      </c>
      <c r="E12" s="3">
        <f t="shared" si="3"/>
        <v>0.98380000000000001</v>
      </c>
      <c r="F12" s="3">
        <f t="shared" si="4"/>
        <v>1.0120149775747851</v>
      </c>
      <c r="H12" s="3">
        <f t="shared" si="5"/>
        <v>0.87680100000000005</v>
      </c>
      <c r="I12" s="3">
        <f t="shared" si="0"/>
        <v>0.88906499999999999</v>
      </c>
      <c r="J12" s="3">
        <f t="shared" si="6"/>
        <v>1.0139872103248058</v>
      </c>
      <c r="L12" s="3">
        <f t="shared" si="7"/>
        <v>2.032520325203252E-2</v>
      </c>
      <c r="M12" s="3">
        <f t="shared" si="8"/>
        <v>0.85721544715447162</v>
      </c>
      <c r="N12" s="3">
        <f t="shared" si="9"/>
        <v>0.93460975609756103</v>
      </c>
      <c r="O12" s="3">
        <f t="shared" si="1"/>
        <v>1.0902857142857143</v>
      </c>
    </row>
    <row r="13" spans="2:15" x14ac:dyDescent="0.25">
      <c r="B13">
        <v>60</v>
      </c>
      <c r="C13">
        <f>+C12*2</f>
        <v>5.9999999999999995E-4</v>
      </c>
      <c r="D13" s="3">
        <f t="shared" si="2"/>
        <v>0.92424000000000006</v>
      </c>
      <c r="E13" s="3">
        <f t="shared" si="3"/>
        <v>0.96760000000000002</v>
      </c>
      <c r="F13" s="3">
        <f t="shared" si="4"/>
        <v>1.0469142214143512</v>
      </c>
      <c r="H13" s="3">
        <f t="shared" si="5"/>
        <v>0.84460200000000007</v>
      </c>
      <c r="I13" s="3">
        <f t="shared" si="0"/>
        <v>0.87813000000000008</v>
      </c>
      <c r="J13" s="3">
        <f t="shared" si="6"/>
        <v>1.0396968039384231</v>
      </c>
      <c r="L13" s="3">
        <f t="shared" si="7"/>
        <v>3.9840637450199202E-2</v>
      </c>
      <c r="M13" s="3">
        <f t="shared" si="8"/>
        <v>0.84013944223107573</v>
      </c>
      <c r="N13" s="3">
        <f t="shared" si="9"/>
        <v>0.91599203187250999</v>
      </c>
      <c r="O13" s="3">
        <f t="shared" si="1"/>
        <v>1.0902857142857143</v>
      </c>
    </row>
    <row r="14" spans="2:15" x14ac:dyDescent="0.25">
      <c r="B14">
        <v>60</v>
      </c>
      <c r="C14">
        <f>C13*2</f>
        <v>1.1999999999999999E-3</v>
      </c>
      <c r="D14" s="3">
        <f t="shared" si="2"/>
        <v>0.82847999999999999</v>
      </c>
      <c r="E14" s="3">
        <f t="shared" si="3"/>
        <v>0.93520000000000003</v>
      </c>
      <c r="F14" s="3">
        <f t="shared" si="4"/>
        <v>1.1288142139822326</v>
      </c>
      <c r="H14" s="3">
        <f t="shared" si="5"/>
        <v>0.78020400000000001</v>
      </c>
      <c r="I14" s="3">
        <f t="shared" si="0"/>
        <v>0.85626000000000002</v>
      </c>
      <c r="J14" s="3">
        <f t="shared" si="6"/>
        <v>1.0974821969638711</v>
      </c>
      <c r="L14" s="3">
        <f t="shared" si="7"/>
        <v>7.662835249042145E-2</v>
      </c>
      <c r="M14" s="3">
        <f t="shared" si="8"/>
        <v>0.80795019157088122</v>
      </c>
      <c r="N14" s="3">
        <f t="shared" si="9"/>
        <v>0.88089655172413794</v>
      </c>
      <c r="O14" s="3">
        <f t="shared" si="1"/>
        <v>1.0902857142857143</v>
      </c>
    </row>
    <row r="15" spans="2:15" x14ac:dyDescent="0.25">
      <c r="L15" t="s">
        <v>55</v>
      </c>
    </row>
    <row r="16" spans="2:15" x14ac:dyDescent="0.25">
      <c r="D16" s="3"/>
      <c r="E16" s="3"/>
      <c r="F16" s="3"/>
    </row>
    <row r="17" spans="3:8" x14ac:dyDescent="0.25">
      <c r="C17" t="s">
        <v>110</v>
      </c>
      <c r="D17" s="3"/>
      <c r="E17" s="3"/>
      <c r="F17" s="3"/>
    </row>
    <row r="18" spans="3:8" x14ac:dyDescent="0.25">
      <c r="C18" t="s">
        <v>54</v>
      </c>
      <c r="D18" s="3"/>
      <c r="E18" s="3"/>
      <c r="F18" s="3"/>
    </row>
    <row r="19" spans="3:8" x14ac:dyDescent="0.25">
      <c r="D19" s="3" t="s">
        <v>57</v>
      </c>
      <c r="E19" s="3"/>
      <c r="F19" s="3"/>
    </row>
    <row r="20" spans="3:8" x14ac:dyDescent="0.25">
      <c r="D20" s="3"/>
      <c r="E20" s="3"/>
      <c r="F20" s="3"/>
    </row>
    <row r="22" spans="3:8" x14ac:dyDescent="0.25">
      <c r="D22" s="3"/>
      <c r="E22" s="3"/>
      <c r="F22" s="3"/>
    </row>
    <row r="23" spans="3:8" x14ac:dyDescent="0.25">
      <c r="D23" s="3"/>
      <c r="E23" s="3"/>
      <c r="F23" s="3"/>
    </row>
    <row r="24" spans="3:8" x14ac:dyDescent="0.25">
      <c r="D24" s="3"/>
      <c r="E24" s="3"/>
      <c r="F24" s="3"/>
    </row>
    <row r="25" spans="3:8" x14ac:dyDescent="0.25">
      <c r="D25" s="3"/>
      <c r="E25" s="3"/>
      <c r="F25" s="3"/>
    </row>
    <row r="26" spans="3:8" x14ac:dyDescent="0.25">
      <c r="D26" s="3"/>
      <c r="E26" s="3"/>
      <c r="F26" s="3"/>
    </row>
    <row r="29" spans="3:8" x14ac:dyDescent="0.25">
      <c r="D29" s="3"/>
      <c r="E29" s="3"/>
      <c r="F29" s="3"/>
      <c r="G29" s="2"/>
      <c r="H29" s="4"/>
    </row>
    <row r="30" spans="3:8" x14ac:dyDescent="0.25">
      <c r="D30" s="3"/>
      <c r="E30" s="3"/>
      <c r="F30" s="3"/>
      <c r="G30" s="2"/>
      <c r="H30" s="4"/>
    </row>
    <row r="31" spans="3:8" x14ac:dyDescent="0.25">
      <c r="D31" s="3"/>
      <c r="E31" s="3"/>
      <c r="F31" s="3"/>
      <c r="G31" s="2"/>
      <c r="H31" s="4"/>
    </row>
    <row r="32" spans="3:8" x14ac:dyDescent="0.25">
      <c r="D32" s="3"/>
      <c r="E32" s="3"/>
      <c r="F32" s="3"/>
      <c r="G32" s="2"/>
      <c r="H32" s="4"/>
    </row>
    <row r="33" spans="4:8" x14ac:dyDescent="0.25">
      <c r="D33" s="3"/>
      <c r="E33" s="3"/>
      <c r="F33" s="3"/>
      <c r="G33" s="2"/>
      <c r="H33" s="4"/>
    </row>
  </sheetData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O42"/>
  <sheetViews>
    <sheetView workbookViewId="0">
      <selection activeCell="B2" sqref="B2"/>
    </sheetView>
  </sheetViews>
  <sheetFormatPr defaultRowHeight="15" x14ac:dyDescent="0.25"/>
  <cols>
    <col min="1" max="1" width="4.7109375" customWidth="1"/>
    <col min="5" max="5" width="10.85546875" customWidth="1"/>
  </cols>
  <sheetData>
    <row r="2" spans="2:15" x14ac:dyDescent="0.25">
      <c r="B2" s="7" t="s">
        <v>118</v>
      </c>
    </row>
    <row r="4" spans="2:15" x14ac:dyDescent="0.25">
      <c r="B4" s="7" t="s">
        <v>111</v>
      </c>
    </row>
    <row r="5" spans="2:15" x14ac:dyDescent="0.25">
      <c r="B5" t="s">
        <v>72</v>
      </c>
      <c r="D5">
        <v>3</v>
      </c>
    </row>
    <row r="6" spans="2:15" x14ac:dyDescent="0.25">
      <c r="B6" t="s">
        <v>59</v>
      </c>
      <c r="D6" s="3">
        <f t="shared" ref="D6:E6" si="0">D7/88</f>
        <v>7.6704545454545459</v>
      </c>
      <c r="E6" s="3">
        <f t="shared" si="0"/>
        <v>1.2159090909090908</v>
      </c>
      <c r="F6" s="3">
        <f>F7/88</f>
        <v>0.625</v>
      </c>
      <c r="G6" t="s">
        <v>73</v>
      </c>
      <c r="H6" t="s">
        <v>105</v>
      </c>
    </row>
    <row r="7" spans="2:15" x14ac:dyDescent="0.25">
      <c r="B7" t="s">
        <v>60</v>
      </c>
      <c r="D7">
        <v>675</v>
      </c>
      <c r="E7">
        <v>107</v>
      </c>
      <c r="F7">
        <v>55</v>
      </c>
      <c r="G7" t="s">
        <v>61</v>
      </c>
      <c r="H7" s="4">
        <f>F7/D7</f>
        <v>8.1481481481481488E-2</v>
      </c>
    </row>
    <row r="8" spans="2:15" x14ac:dyDescent="0.25">
      <c r="B8" t="s">
        <v>62</v>
      </c>
      <c r="D8">
        <v>14</v>
      </c>
      <c r="E8">
        <v>14</v>
      </c>
      <c r="F8">
        <v>14</v>
      </c>
      <c r="O8" s="1"/>
    </row>
    <row r="9" spans="2:15" x14ac:dyDescent="0.25">
      <c r="B9" t="s">
        <v>63</v>
      </c>
      <c r="D9">
        <f>(1/D8)/12</f>
        <v>5.9523809523809521E-3</v>
      </c>
      <c r="E9">
        <f>(1/E8)/12</f>
        <v>5.9523809523809521E-3</v>
      </c>
      <c r="F9">
        <f>(1/F8)/12</f>
        <v>5.9523809523809521E-3</v>
      </c>
      <c r="G9" t="s">
        <v>64</v>
      </c>
      <c r="O9" s="1"/>
    </row>
    <row r="10" spans="2:15" x14ac:dyDescent="0.25">
      <c r="B10" t="s">
        <v>65</v>
      </c>
      <c r="D10">
        <v>8.0000000000000002E-3</v>
      </c>
      <c r="E10">
        <v>8.0000000000000002E-3</v>
      </c>
      <c r="F10">
        <v>8.0000000000000002E-3</v>
      </c>
      <c r="G10" t="s">
        <v>67</v>
      </c>
    </row>
    <row r="11" spans="2:15" x14ac:dyDescent="0.25">
      <c r="B11" t="s">
        <v>66</v>
      </c>
      <c r="D11">
        <f>D10/12</f>
        <v>6.6666666666666664E-4</v>
      </c>
      <c r="E11">
        <f>E10/12</f>
        <v>6.6666666666666664E-4</v>
      </c>
      <c r="F11">
        <f>F10/12</f>
        <v>6.6666666666666664E-4</v>
      </c>
      <c r="G11" t="s">
        <v>64</v>
      </c>
    </row>
    <row r="12" spans="2:15" x14ac:dyDescent="0.25">
      <c r="B12" t="s">
        <v>68</v>
      </c>
      <c r="D12">
        <f>D9-D11</f>
        <v>5.2857142857142851E-3</v>
      </c>
      <c r="E12">
        <f>E9-E11</f>
        <v>5.2857142857142851E-3</v>
      </c>
      <c r="F12">
        <f>F9-F11</f>
        <v>5.2857142857142851E-3</v>
      </c>
    </row>
    <row r="13" spans="2:15" x14ac:dyDescent="0.25">
      <c r="B13" t="s">
        <v>69</v>
      </c>
      <c r="D13">
        <v>1.25</v>
      </c>
      <c r="E13">
        <v>1.25</v>
      </c>
      <c r="F13">
        <v>1.25</v>
      </c>
    </row>
    <row r="14" spans="2:15" x14ac:dyDescent="0.25">
      <c r="B14" t="s">
        <v>70</v>
      </c>
      <c r="D14">
        <v>0.375</v>
      </c>
      <c r="E14">
        <v>0.375</v>
      </c>
      <c r="F14">
        <v>0.375</v>
      </c>
    </row>
    <row r="16" spans="2:15" x14ac:dyDescent="0.25">
      <c r="B16" t="s">
        <v>76</v>
      </c>
      <c r="D16" s="1">
        <f>D7*60/13.7</f>
        <v>2956.2043795620439</v>
      </c>
      <c r="E16" s="1">
        <f>E7*60/13.7</f>
        <v>468.61313868613144</v>
      </c>
      <c r="F16" s="1">
        <f>F7*60/13.7</f>
        <v>240.87591240875915</v>
      </c>
      <c r="G16" t="s">
        <v>75</v>
      </c>
      <c r="H16" t="s">
        <v>77</v>
      </c>
      <c r="I16">
        <f>900*60/13</f>
        <v>4153.8461538461543</v>
      </c>
    </row>
    <row r="17" spans="2:11" x14ac:dyDescent="0.25">
      <c r="B17" t="s">
        <v>74</v>
      </c>
      <c r="D17" s="1">
        <f>D16/0.555</f>
        <v>5326.494377589268</v>
      </c>
      <c r="E17" s="1">
        <f>E16/0.555</f>
        <v>844.34799763266915</v>
      </c>
      <c r="F17" s="1">
        <f>F16/0.555</f>
        <v>434.01065298875517</v>
      </c>
      <c r="G17" t="s">
        <v>75</v>
      </c>
      <c r="H17" t="s">
        <v>78</v>
      </c>
    </row>
    <row r="18" spans="2:11" x14ac:dyDescent="0.25">
      <c r="B18" t="s">
        <v>79</v>
      </c>
      <c r="D18">
        <v>4.3999999999999997E-2</v>
      </c>
      <c r="E18">
        <v>4.3999999999999997E-2</v>
      </c>
      <c r="F18">
        <v>4.3999999999999997E-2</v>
      </c>
    </row>
    <row r="19" spans="2:11" x14ac:dyDescent="0.25">
      <c r="B19" t="s">
        <v>80</v>
      </c>
      <c r="D19" s="1">
        <f>D17*D14/(12*D18)</f>
        <v>3783.0215749923777</v>
      </c>
      <c r="E19" s="1">
        <f>E17*E14/(12*E18)</f>
        <v>599.67897559138441</v>
      </c>
      <c r="F19" s="1">
        <f>F17*F14/(12*F18)</f>
        <v>308.24620240678632</v>
      </c>
    </row>
    <row r="20" spans="2:11" x14ac:dyDescent="0.25">
      <c r="B20" t="s">
        <v>81</v>
      </c>
      <c r="D20" s="1">
        <f>D17*D13/(12*D18)</f>
        <v>12610.071916641258</v>
      </c>
      <c r="E20" s="1">
        <f>E17*E13/(12*E18)</f>
        <v>1998.9299186379476</v>
      </c>
      <c r="F20" s="1">
        <f>F17*F13/(12*F18)</f>
        <v>1027.4873413559544</v>
      </c>
    </row>
    <row r="21" spans="2:11" x14ac:dyDescent="0.25">
      <c r="B21" t="s">
        <v>82</v>
      </c>
      <c r="D21">
        <v>7.1999999999999998E-3</v>
      </c>
      <c r="E21">
        <v>1.2E-2</v>
      </c>
      <c r="F21">
        <v>1.2E-2</v>
      </c>
    </row>
    <row r="22" spans="2:11" x14ac:dyDescent="0.25">
      <c r="B22" t="s">
        <v>84</v>
      </c>
      <c r="D22">
        <v>0.24</v>
      </c>
      <c r="E22">
        <v>0.24</v>
      </c>
      <c r="F22">
        <v>0.24</v>
      </c>
    </row>
    <row r="23" spans="2:11" x14ac:dyDescent="0.25">
      <c r="B23" t="s">
        <v>85</v>
      </c>
      <c r="D23">
        <v>0.71</v>
      </c>
      <c r="E23">
        <v>0.71</v>
      </c>
      <c r="F23">
        <v>0.71</v>
      </c>
    </row>
    <row r="24" spans="2:11" x14ac:dyDescent="0.25">
      <c r="B24" t="s">
        <v>86</v>
      </c>
      <c r="D24" s="2">
        <f>D21*D17*D22*D23^(-2/3)</f>
        <v>11.565017970217067</v>
      </c>
      <c r="E24" s="2">
        <f>E21*E17*E22*E23^(-2/3)</f>
        <v>3.0554491921314235</v>
      </c>
      <c r="F24" s="2">
        <f>F21*F17*F22*F23^(-2/3)</f>
        <v>1.5705579959554044</v>
      </c>
      <c r="H24" t="s">
        <v>83</v>
      </c>
    </row>
    <row r="26" spans="2:11" x14ac:dyDescent="0.25">
      <c r="E26" s="3"/>
      <c r="F26" s="3"/>
    </row>
    <row r="27" spans="2:11" x14ac:dyDescent="0.25">
      <c r="B27" s="7" t="s">
        <v>112</v>
      </c>
    </row>
    <row r="28" spans="2:11" x14ac:dyDescent="0.25">
      <c r="B28" t="s">
        <v>87</v>
      </c>
      <c r="F28" s="3">
        <f>0.272*((35--20)/3)^0.25</f>
        <v>0.56283262375830145</v>
      </c>
      <c r="G28" t="s">
        <v>89</v>
      </c>
      <c r="H28" t="s">
        <v>88</v>
      </c>
      <c r="K28" t="s">
        <v>102</v>
      </c>
    </row>
    <row r="29" spans="2:11" x14ac:dyDescent="0.25">
      <c r="F29" s="3">
        <f>0.000000001712*0.7*((35+460)^2+(-20+460)^2)*(35+460+-20+460)</f>
        <v>0.49148106699999994</v>
      </c>
      <c r="G29" t="s">
        <v>90</v>
      </c>
    </row>
    <row r="30" spans="2:11" x14ac:dyDescent="0.25">
      <c r="B30" t="s">
        <v>91</v>
      </c>
      <c r="F30" s="3">
        <f>F28+F29</f>
        <v>1.0543136907583013</v>
      </c>
      <c r="G30" t="s">
        <v>113</v>
      </c>
    </row>
    <row r="32" spans="2:11" x14ac:dyDescent="0.25">
      <c r="B32" s="7" t="s">
        <v>117</v>
      </c>
    </row>
    <row r="33" spans="2:8" x14ac:dyDescent="0.25">
      <c r="B33" t="s">
        <v>92</v>
      </c>
      <c r="D33" t="s">
        <v>94</v>
      </c>
      <c r="E33" t="s">
        <v>95</v>
      </c>
    </row>
    <row r="34" spans="2:8" x14ac:dyDescent="0.25">
      <c r="B34" t="s">
        <v>71</v>
      </c>
      <c r="D34">
        <v>2000</v>
      </c>
      <c r="E34">
        <f>D34</f>
        <v>2000</v>
      </c>
      <c r="F34" t="s">
        <v>114</v>
      </c>
    </row>
    <row r="35" spans="2:8" x14ac:dyDescent="0.25">
      <c r="B35" t="s">
        <v>97</v>
      </c>
      <c r="D35">
        <f>1/D34</f>
        <v>5.0000000000000001E-4</v>
      </c>
      <c r="E35">
        <f>D35</f>
        <v>5.0000000000000001E-4</v>
      </c>
      <c r="H35" t="s">
        <v>96</v>
      </c>
    </row>
    <row r="36" spans="2:8" x14ac:dyDescent="0.25">
      <c r="B36" t="s">
        <v>93</v>
      </c>
      <c r="D36">
        <f>D35*0.45</f>
        <v>2.2500000000000002E-4</v>
      </c>
      <c r="E36" s="14">
        <f>D36*D24/F30</f>
        <v>2.4680785862007471E-3</v>
      </c>
      <c r="F36" t="s">
        <v>101</v>
      </c>
      <c r="H36" t="s">
        <v>98</v>
      </c>
    </row>
    <row r="37" spans="2:8" x14ac:dyDescent="0.25">
      <c r="B37" t="s">
        <v>99</v>
      </c>
      <c r="D37">
        <f>D35*0.3</f>
        <v>1.4999999999999999E-4</v>
      </c>
      <c r="E37">
        <f>E35*0.3</f>
        <v>1.4999999999999999E-4</v>
      </c>
    </row>
    <row r="38" spans="2:8" x14ac:dyDescent="0.25">
      <c r="B38" t="s">
        <v>100</v>
      </c>
      <c r="D38">
        <f>D35*0.25</f>
        <v>1.25E-4</v>
      </c>
      <c r="E38">
        <f>E35*0.25</f>
        <v>1.25E-4</v>
      </c>
    </row>
    <row r="39" spans="2:8" x14ac:dyDescent="0.25">
      <c r="B39" t="s">
        <v>97</v>
      </c>
      <c r="D39">
        <f>SUM(D36:D38)</f>
        <v>5.0000000000000001E-4</v>
      </c>
      <c r="E39" s="5">
        <f>SUM(E36:E38)</f>
        <v>2.7430785862007472E-3</v>
      </c>
    </row>
    <row r="40" spans="2:8" x14ac:dyDescent="0.25">
      <c r="B40" t="s">
        <v>71</v>
      </c>
      <c r="D40" s="1">
        <f>1/D39</f>
        <v>2000</v>
      </c>
      <c r="E40" s="1">
        <f>1/E39</f>
        <v>364.5539012373074</v>
      </c>
    </row>
    <row r="41" spans="2:8" x14ac:dyDescent="0.25">
      <c r="B41" t="s">
        <v>116</v>
      </c>
      <c r="D41" s="1"/>
      <c r="E41" s="15">
        <f>E40/D40</f>
        <v>0.1822769506186537</v>
      </c>
      <c r="F41" t="s">
        <v>115</v>
      </c>
    </row>
    <row r="42" spans="2:8" x14ac:dyDescent="0.25">
      <c r="B42" t="s">
        <v>104</v>
      </c>
      <c r="E42" s="15">
        <f>E41/2</f>
        <v>9.1138475309326852E-2</v>
      </c>
      <c r="F42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DefF</vt:lpstr>
      <vt:lpstr>Cap&amp;Pwr</vt:lpstr>
      <vt:lpstr>VRFCoilUA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Maddox</dc:creator>
  <cp:lastModifiedBy>Doug Maddox</cp:lastModifiedBy>
  <dcterms:created xsi:type="dcterms:W3CDTF">2010-08-12T17:56:03Z</dcterms:created>
  <dcterms:modified xsi:type="dcterms:W3CDTF">2016-09-28T01:37:33Z</dcterms:modified>
</cp:coreProperties>
</file>