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48" yWindow="1896" windowWidth="17952" windowHeight="8268"/>
  </bookViews>
  <sheets>
    <sheet name="EAR Team Additions" sheetId="32" r:id="rId1"/>
    <sheet name="Summary" sheetId="12" r:id="rId2"/>
    <sheet name="PG&amp;E Savings" sheetId="18" r:id="rId3"/>
    <sheet name="SCE Savings" sheetId="24" r:id="rId4"/>
    <sheet name="SCG Savings" sheetId="25" r:id="rId5"/>
    <sheet name="SDG&amp;E Savings" sheetId="26" r:id="rId6"/>
    <sheet name="Net Savings Eval Schematic" sheetId="15" r:id="rId7"/>
    <sheet name="Measure UEC" sheetId="14" r:id="rId8"/>
    <sheet name="Title20_UEC" sheetId="5" r:id="rId9"/>
    <sheet name="Baseline_UEC" sheetId="4" r:id="rId10"/>
    <sheet name="Interactive Effects" sheetId="23" r:id="rId11"/>
    <sheet name="Annual_Cycles" sheetId="3" r:id="rId12"/>
    <sheet name="2009 RASS" sheetId="22" r:id="rId13"/>
    <sheet name="Estimated Participants_rev" sheetId="16" r:id="rId14"/>
    <sheet name="EARTeamReviewAlts" sheetId="29" r:id="rId15"/>
    <sheet name="EARTeamUECandUESCalcs" sheetId="28" r:id="rId16"/>
    <sheet name="SCE MFAM Laundry Field Research" sheetId="30" r:id="rId17"/>
    <sheet name="EARTeamReviewBackup" sheetId="27" r:id="rId18"/>
    <sheet name="EARTeamReviewAltsMFAM" sheetId="31" r:id="rId19"/>
  </sheets>
  <externalReferences>
    <externalReference r:id="rId20"/>
  </externalReferences>
  <definedNames>
    <definedName name="_xlnm._FilterDatabase" localSheetId="16" hidden="1">'SCE MFAM Laundry Field Research'!$A$1:$I$1</definedName>
    <definedName name="Addition">[1]Sheet1!$A$1:$A$3</definedName>
    <definedName name="_xlnm.Print_Area" localSheetId="12">'2009 RASS'!$C$2:$T$72</definedName>
    <definedName name="_xlnm.Print_Area" localSheetId="1">Summary!$D$9:$K$16</definedName>
    <definedName name="t.EARTeamUECCalcs">EARTeamUECandUESCalcs!$A$5:$S$29</definedName>
    <definedName name="t.MFamCommonAnnualUES">EARTeamUECandUESCalcs!$A$50:$AS$66</definedName>
    <definedName name="t.MFAMCommonUESSummary" localSheetId="18">EARTeamReviewAltsMFAM!$A$2:$O$20</definedName>
    <definedName name="t.MFAMCommonUESSummary">EARTeamReviewAlts!#REF!</definedName>
    <definedName name="t.OverallIEF">'Interactive Effects'!$A$59:$H$62</definedName>
    <definedName name="t.ResAnnualUES">EARTeamUECandUESCalcs!$A$31:$AS$48</definedName>
    <definedName name="t.ResUESSummary" localSheetId="18">EARTeamReviewAltsMFAM!#REF!</definedName>
    <definedName name="t.ResUESSummary">EARTeamReviewAlts!$A$2:$O$20</definedName>
    <definedName name="v.EARCDF">EARTeamReviewBackup!$AF$71</definedName>
    <definedName name="v.EARMFAMCDF">EARTeamReviewBackup!$AU$71</definedName>
  </definedNames>
  <calcPr calcId="145621"/>
</workbook>
</file>

<file path=xl/calcChain.xml><?xml version="1.0" encoding="utf-8"?>
<calcChain xmlns="http://schemas.openxmlformats.org/spreadsheetml/2006/main">
  <c r="M38" i="29" l="1"/>
  <c r="L37" i="29"/>
  <c r="L38" i="29"/>
  <c r="L36" i="29"/>
  <c r="L35" i="29"/>
  <c r="L39" i="29"/>
  <c r="L34" i="29"/>
  <c r="L33" i="29"/>
  <c r="AJ56" i="28" l="1"/>
  <c r="AJ57" i="28" s="1"/>
  <c r="AJ58" i="28" s="1"/>
  <c r="AJ59" i="28" s="1"/>
  <c r="AJ60" i="28" s="1"/>
  <c r="AJ61" i="28" s="1"/>
  <c r="AJ62" i="28" s="1"/>
  <c r="AJ63" i="28" s="1"/>
  <c r="AJ64" i="28" s="1"/>
  <c r="AJ65" i="28" s="1"/>
  <c r="AJ55" i="28"/>
  <c r="AJ38" i="28"/>
  <c r="AJ39" i="28" s="1"/>
  <c r="AJ40" i="28" s="1"/>
  <c r="AJ41" i="28" s="1"/>
  <c r="AJ42" i="28" s="1"/>
  <c r="AJ43" i="28" s="1"/>
  <c r="AJ44" i="28" s="1"/>
  <c r="AJ45" i="28" s="1"/>
  <c r="AJ46" i="28" s="1"/>
  <c r="AJ47" i="28" s="1"/>
  <c r="Z55" i="28"/>
  <c r="Z56" i="28" s="1"/>
  <c r="Z57" i="28" s="1"/>
  <c r="Z58" i="28" s="1"/>
  <c r="Z59" i="28" s="1"/>
  <c r="Z60" i="28" s="1"/>
  <c r="Z61" i="28" s="1"/>
  <c r="Z62" i="28" s="1"/>
  <c r="Z63" i="28" s="1"/>
  <c r="Z64" i="28" s="1"/>
  <c r="Z65" i="28" s="1"/>
  <c r="Z38" i="28"/>
  <c r="Z39" i="28" s="1"/>
  <c r="Z40" i="28" s="1"/>
  <c r="Z41" i="28" s="1"/>
  <c r="Z42" i="28" s="1"/>
  <c r="Z43" i="28" s="1"/>
  <c r="Z44" i="28" s="1"/>
  <c r="Z45" i="28" s="1"/>
  <c r="Z46" i="28" s="1"/>
  <c r="Z47" i="28" s="1"/>
  <c r="P38" i="28"/>
  <c r="P39" i="28" s="1"/>
  <c r="P40" i="28" s="1"/>
  <c r="P41" i="28" s="1"/>
  <c r="P42" i="28" s="1"/>
  <c r="P43" i="28" s="1"/>
  <c r="P44" i="28" s="1"/>
  <c r="P45" i="28" s="1"/>
  <c r="P46" i="28" s="1"/>
  <c r="P47" i="28" s="1"/>
  <c r="P56" i="28"/>
  <c r="P57" i="28"/>
  <c r="P58" i="28" s="1"/>
  <c r="P59" i="28" s="1"/>
  <c r="P60" i="28" s="1"/>
  <c r="P61" i="28" s="1"/>
  <c r="P62" i="28" s="1"/>
  <c r="P63" i="28" s="1"/>
  <c r="P64" i="28" s="1"/>
  <c r="P65" i="28" s="1"/>
  <c r="M8" i="27"/>
  <c r="M10" i="27"/>
  <c r="M40" i="31"/>
  <c r="M74" i="31" s="1"/>
  <c r="M108" i="31" s="1"/>
  <c r="L40" i="31"/>
  <c r="L74" i="31" s="1"/>
  <c r="L108" i="31" s="1"/>
  <c r="K40" i="31"/>
  <c r="K74" i="31" s="1"/>
  <c r="K108" i="31" s="1"/>
  <c r="M39" i="31"/>
  <c r="M73" i="31" s="1"/>
  <c r="M107" i="31" s="1"/>
  <c r="L39" i="31"/>
  <c r="L73" i="31" s="1"/>
  <c r="L107" i="31" s="1"/>
  <c r="K39" i="31"/>
  <c r="K73" i="31" s="1"/>
  <c r="K107" i="31" s="1"/>
  <c r="M38" i="31"/>
  <c r="M72" i="31" s="1"/>
  <c r="M106" i="31" s="1"/>
  <c r="L38" i="31"/>
  <c r="L72" i="31" s="1"/>
  <c r="L106" i="31" s="1"/>
  <c r="K38" i="31"/>
  <c r="K72" i="31" s="1"/>
  <c r="K106" i="31" s="1"/>
  <c r="M37" i="31"/>
  <c r="M71" i="31" s="1"/>
  <c r="M105" i="31" s="1"/>
  <c r="L37" i="31"/>
  <c r="L71" i="31" s="1"/>
  <c r="L105" i="31" s="1"/>
  <c r="K37" i="31"/>
  <c r="AU37" i="31" s="1"/>
  <c r="M36" i="31"/>
  <c r="M70" i="31" s="1"/>
  <c r="M104" i="31" s="1"/>
  <c r="L36" i="31"/>
  <c r="L70" i="31" s="1"/>
  <c r="L104" i="31" s="1"/>
  <c r="K36" i="31"/>
  <c r="K70" i="31" s="1"/>
  <c r="K104" i="31" s="1"/>
  <c r="M35" i="31"/>
  <c r="M69" i="31" s="1"/>
  <c r="M103" i="31" s="1"/>
  <c r="L35" i="31"/>
  <c r="L69" i="31" s="1"/>
  <c r="L103" i="31" s="1"/>
  <c r="K35" i="31"/>
  <c r="K69" i="31" s="1"/>
  <c r="K103" i="31" s="1"/>
  <c r="M34" i="31"/>
  <c r="M68" i="31" s="1"/>
  <c r="M102" i="31" s="1"/>
  <c r="L34" i="31"/>
  <c r="L68" i="31" s="1"/>
  <c r="L102" i="31" s="1"/>
  <c r="K34" i="31"/>
  <c r="K68" i="31" s="1"/>
  <c r="K102" i="31" s="1"/>
  <c r="M33" i="31"/>
  <c r="M67" i="31" s="1"/>
  <c r="M101" i="31" s="1"/>
  <c r="L33" i="31"/>
  <c r="L67" i="31" s="1"/>
  <c r="L101" i="31" s="1"/>
  <c r="K33" i="31"/>
  <c r="M32" i="31"/>
  <c r="L32" i="31"/>
  <c r="K32" i="31"/>
  <c r="AU32" i="31" s="1"/>
  <c r="Q94" i="31"/>
  <c r="P94" i="31"/>
  <c r="O94" i="31"/>
  <c r="N94" i="31"/>
  <c r="Q60" i="31"/>
  <c r="P60" i="31"/>
  <c r="O60" i="31"/>
  <c r="N60" i="31"/>
  <c r="BS40" i="31"/>
  <c r="BR40" i="31"/>
  <c r="BQ40" i="31"/>
  <c r="BP40" i="31"/>
  <c r="BO40" i="31"/>
  <c r="BN40" i="31"/>
  <c r="BM40" i="31"/>
  <c r="BL40" i="31"/>
  <c r="BK40" i="31"/>
  <c r="BJ40" i="31"/>
  <c r="BI40" i="31"/>
  <c r="BH40" i="31"/>
  <c r="BG40" i="31"/>
  <c r="BF40" i="31"/>
  <c r="BE40" i="31"/>
  <c r="BD40" i="31"/>
  <c r="BC40" i="31"/>
  <c r="BB40" i="31"/>
  <c r="BA40" i="31"/>
  <c r="AZ40" i="31"/>
  <c r="AY40" i="31"/>
  <c r="AX40" i="31"/>
  <c r="AW40" i="31"/>
  <c r="AV40" i="31"/>
  <c r="BS38" i="31"/>
  <c r="BR38" i="31"/>
  <c r="BQ38" i="31"/>
  <c r="BP38" i="31"/>
  <c r="BO38" i="31"/>
  <c r="BN38" i="31"/>
  <c r="BM38" i="31"/>
  <c r="BL38" i="31"/>
  <c r="BK38" i="31"/>
  <c r="BJ38" i="31"/>
  <c r="BI38" i="31"/>
  <c r="BH38" i="31"/>
  <c r="BG38" i="31"/>
  <c r="BF38" i="31"/>
  <c r="BE38" i="31"/>
  <c r="BD38" i="31"/>
  <c r="BC38" i="31"/>
  <c r="BB38" i="31"/>
  <c r="BA38" i="31"/>
  <c r="AZ38" i="31"/>
  <c r="AY38" i="31"/>
  <c r="AX38" i="31"/>
  <c r="AW38" i="31"/>
  <c r="AV38" i="31"/>
  <c r="BS36" i="31"/>
  <c r="BR36" i="31"/>
  <c r="BQ36" i="31"/>
  <c r="BP36" i="31"/>
  <c r="BO36" i="31"/>
  <c r="BN36" i="31"/>
  <c r="BM36" i="31"/>
  <c r="BL36" i="31"/>
  <c r="BK36" i="31"/>
  <c r="BJ36" i="31"/>
  <c r="BI36" i="31"/>
  <c r="BH36" i="31"/>
  <c r="BG36" i="31"/>
  <c r="BF36" i="31"/>
  <c r="BE36" i="31"/>
  <c r="BD36" i="31"/>
  <c r="BC36" i="31"/>
  <c r="BB36" i="31"/>
  <c r="BA36" i="31"/>
  <c r="AZ36" i="31"/>
  <c r="AY36" i="31"/>
  <c r="AX36" i="31"/>
  <c r="AW36" i="31"/>
  <c r="AV36" i="31"/>
  <c r="BS33" i="31"/>
  <c r="BR33" i="31"/>
  <c r="BQ33" i="31"/>
  <c r="BP33" i="31"/>
  <c r="BO33" i="31"/>
  <c r="BN33" i="31"/>
  <c r="BM33" i="31"/>
  <c r="BL33" i="31"/>
  <c r="BK33" i="31"/>
  <c r="BJ33" i="31"/>
  <c r="BI33" i="31"/>
  <c r="BH33" i="31"/>
  <c r="BG33" i="31"/>
  <c r="BF33" i="31"/>
  <c r="BE33" i="31"/>
  <c r="BD33" i="31"/>
  <c r="BC33" i="31"/>
  <c r="BB33" i="31"/>
  <c r="BA33" i="31"/>
  <c r="AZ33" i="31"/>
  <c r="AY33" i="31"/>
  <c r="AX33" i="31"/>
  <c r="AW33" i="31"/>
  <c r="AV33" i="31"/>
  <c r="AU33" i="31"/>
  <c r="Q26" i="31"/>
  <c r="P26" i="31"/>
  <c r="O26" i="31"/>
  <c r="N26" i="31"/>
  <c r="D18" i="31"/>
  <c r="A17" i="31"/>
  <c r="D14" i="31"/>
  <c r="A14" i="31" s="1"/>
  <c r="A13" i="31"/>
  <c r="F12" i="31"/>
  <c r="E12" i="31"/>
  <c r="E16" i="31" s="1"/>
  <c r="E20" i="31" s="1"/>
  <c r="F11" i="31"/>
  <c r="F15" i="31" s="1"/>
  <c r="F19" i="31" s="1"/>
  <c r="C19" i="31" s="1"/>
  <c r="E11" i="31"/>
  <c r="E15" i="31" s="1"/>
  <c r="E19" i="31" s="1"/>
  <c r="F10" i="31"/>
  <c r="F14" i="31" s="1"/>
  <c r="F18" i="31" s="1"/>
  <c r="E10" i="31"/>
  <c r="E14" i="31" s="1"/>
  <c r="E18" i="31" s="1"/>
  <c r="D10" i="31"/>
  <c r="A10" i="31" s="1"/>
  <c r="F9" i="31"/>
  <c r="F13" i="31" s="1"/>
  <c r="F17" i="31" s="1"/>
  <c r="E9" i="31"/>
  <c r="E13" i="31" s="1"/>
  <c r="E17" i="31" s="1"/>
  <c r="A9" i="31"/>
  <c r="C8" i="31"/>
  <c r="C7" i="31"/>
  <c r="D6" i="31"/>
  <c r="A6" i="31" s="1"/>
  <c r="A5" i="31"/>
  <c r="O1" i="31"/>
  <c r="N1" i="31"/>
  <c r="M1" i="31"/>
  <c r="L1" i="31"/>
  <c r="K1" i="31"/>
  <c r="J1" i="31"/>
  <c r="I1" i="31"/>
  <c r="N122" i="31" s="1"/>
  <c r="H1" i="31"/>
  <c r="N88" i="31" s="1"/>
  <c r="G1" i="31"/>
  <c r="N54" i="31" s="1"/>
  <c r="D11" i="31" l="1"/>
  <c r="D12" i="31" s="1"/>
  <c r="K71" i="31"/>
  <c r="K105" i="31" s="1"/>
  <c r="C11" i="31"/>
  <c r="A11" i="31" s="1"/>
  <c r="D15" i="31"/>
  <c r="D16" i="31" s="1"/>
  <c r="AU39" i="31"/>
  <c r="K67" i="31"/>
  <c r="K101" i="31" s="1"/>
  <c r="AU35" i="31"/>
  <c r="Z54" i="31"/>
  <c r="R54" i="31"/>
  <c r="O54" i="31"/>
  <c r="D7" i="31"/>
  <c r="Z122" i="31"/>
  <c r="R122" i="31"/>
  <c r="O122" i="31"/>
  <c r="A18" i="31"/>
  <c r="D19" i="31"/>
  <c r="O88" i="31"/>
  <c r="R88" i="31"/>
  <c r="Z88" i="31"/>
  <c r="C12" i="31"/>
  <c r="A12" i="31" s="1"/>
  <c r="F16" i="31"/>
  <c r="C15" i="31"/>
  <c r="M66" i="31"/>
  <c r="L66" i="31"/>
  <c r="K66" i="31"/>
  <c r="AU34" i="31"/>
  <c r="AU36" i="31"/>
  <c r="AU38" i="31"/>
  <c r="AU40" i="31"/>
  <c r="A15" i="31" l="1"/>
  <c r="F20" i="31"/>
  <c r="C20" i="31" s="1"/>
  <c r="C16" i="31"/>
  <c r="A16" i="31" s="1"/>
  <c r="D20" i="31"/>
  <c r="A19" i="31"/>
  <c r="L100" i="31"/>
  <c r="M100" i="31"/>
  <c r="K100" i="31"/>
  <c r="AA88" i="31"/>
  <c r="S88" i="31"/>
  <c r="P88" i="31"/>
  <c r="A7" i="31"/>
  <c r="D8" i="31"/>
  <c r="V88" i="31"/>
  <c r="AD88" i="31"/>
  <c r="AA54" i="31"/>
  <c r="S54" i="31"/>
  <c r="P54" i="31"/>
  <c r="AD54" i="31"/>
  <c r="V54" i="31"/>
  <c r="P122" i="31"/>
  <c r="AA122" i="31"/>
  <c r="S122" i="31"/>
  <c r="AD122" i="31"/>
  <c r="V122" i="31"/>
  <c r="M73" i="29"/>
  <c r="M107" i="29" s="1"/>
  <c r="L73" i="29"/>
  <c r="L107" i="29" s="1"/>
  <c r="K73" i="29"/>
  <c r="K107" i="29" s="1"/>
  <c r="M72" i="29"/>
  <c r="M106" i="29" s="1"/>
  <c r="L72" i="29"/>
  <c r="L106" i="29" s="1"/>
  <c r="K72" i="29"/>
  <c r="K106" i="29" s="1"/>
  <c r="M71" i="29"/>
  <c r="M105" i="29" s="1"/>
  <c r="L71" i="29"/>
  <c r="K71" i="29"/>
  <c r="K105" i="29" s="1"/>
  <c r="M70" i="29"/>
  <c r="M104" i="29" s="1"/>
  <c r="L70" i="29"/>
  <c r="L104" i="29" s="1"/>
  <c r="K70" i="29"/>
  <c r="K104" i="29" s="1"/>
  <c r="M69" i="29"/>
  <c r="M103" i="29" s="1"/>
  <c r="L69" i="29"/>
  <c r="L103" i="29" s="1"/>
  <c r="K69" i="29"/>
  <c r="K103" i="29" s="1"/>
  <c r="M68" i="29"/>
  <c r="L68" i="29"/>
  <c r="L102" i="29" s="1"/>
  <c r="K68" i="29"/>
  <c r="K102" i="29" s="1"/>
  <c r="M67" i="29"/>
  <c r="M101" i="29" s="1"/>
  <c r="L67" i="29"/>
  <c r="L101" i="29" s="1"/>
  <c r="K67" i="29"/>
  <c r="K101" i="29" s="1"/>
  <c r="M66" i="29"/>
  <c r="M100" i="29" s="1"/>
  <c r="L66" i="29"/>
  <c r="L100" i="29" s="1"/>
  <c r="K66" i="29"/>
  <c r="K100" i="29" s="1"/>
  <c r="M65" i="29"/>
  <c r="M99" i="29" s="1"/>
  <c r="L65" i="29"/>
  <c r="L99" i="29" s="1"/>
  <c r="K65" i="29"/>
  <c r="K99" i="29" s="1"/>
  <c r="BS39" i="29"/>
  <c r="BR39" i="29"/>
  <c r="BQ39" i="29"/>
  <c r="BP39" i="29"/>
  <c r="BO39" i="29"/>
  <c r="BN39" i="29"/>
  <c r="BM39" i="29"/>
  <c r="BL39" i="29"/>
  <c r="BK39" i="29"/>
  <c r="BJ39" i="29"/>
  <c r="BI39" i="29"/>
  <c r="BH39" i="29"/>
  <c r="BG39" i="29"/>
  <c r="BF39" i="29"/>
  <c r="BE39" i="29"/>
  <c r="BD39" i="29"/>
  <c r="BC39" i="29"/>
  <c r="BB39" i="29"/>
  <c r="BA39" i="29"/>
  <c r="AZ39" i="29"/>
  <c r="AY39" i="29"/>
  <c r="AX39" i="29"/>
  <c r="AW39" i="29"/>
  <c r="AV39" i="29"/>
  <c r="BS37" i="29"/>
  <c r="BR37" i="29"/>
  <c r="BQ37" i="29"/>
  <c r="BP37" i="29"/>
  <c r="BO37" i="29"/>
  <c r="BN37" i="29"/>
  <c r="BM37" i="29"/>
  <c r="BL37" i="29"/>
  <c r="BK37" i="29"/>
  <c r="BJ37" i="29"/>
  <c r="BI37" i="29"/>
  <c r="BH37" i="29"/>
  <c r="BG37" i="29"/>
  <c r="BF37" i="29"/>
  <c r="BE37" i="29"/>
  <c r="BD37" i="29"/>
  <c r="BC37" i="29"/>
  <c r="BB37" i="29"/>
  <c r="BA37" i="29"/>
  <c r="AZ37" i="29"/>
  <c r="AY37" i="29"/>
  <c r="AX37" i="29"/>
  <c r="AW37" i="29"/>
  <c r="AV37" i="29"/>
  <c r="BS35" i="29"/>
  <c r="BR35" i="29"/>
  <c r="BQ35" i="29"/>
  <c r="BP35" i="29"/>
  <c r="BO35" i="29"/>
  <c r="BN35" i="29"/>
  <c r="BM35" i="29"/>
  <c r="BL35" i="29"/>
  <c r="BK35" i="29"/>
  <c r="BJ35" i="29"/>
  <c r="BI35" i="29"/>
  <c r="BH35" i="29"/>
  <c r="BG35" i="29"/>
  <c r="BF35" i="29"/>
  <c r="BE35" i="29"/>
  <c r="BD35" i="29"/>
  <c r="BC35" i="29"/>
  <c r="BB35" i="29"/>
  <c r="BA35" i="29"/>
  <c r="AZ35" i="29"/>
  <c r="AY35" i="29"/>
  <c r="AX35" i="29"/>
  <c r="AW35" i="29"/>
  <c r="AV35" i="29"/>
  <c r="BS33" i="29"/>
  <c r="BR33" i="29"/>
  <c r="BQ33" i="29"/>
  <c r="BP33" i="29"/>
  <c r="BO33" i="29"/>
  <c r="BN33" i="29"/>
  <c r="BM33" i="29"/>
  <c r="BL33" i="29"/>
  <c r="BK33" i="29"/>
  <c r="BJ33" i="29"/>
  <c r="BI33" i="29"/>
  <c r="BH33" i="29"/>
  <c r="BG33" i="29"/>
  <c r="BF33" i="29"/>
  <c r="BE33" i="29"/>
  <c r="BD33" i="29"/>
  <c r="BC33" i="29"/>
  <c r="BB33" i="29"/>
  <c r="BA33" i="29"/>
  <c r="AZ33" i="29"/>
  <c r="AY33" i="29"/>
  <c r="AX33" i="29"/>
  <c r="AW33" i="29"/>
  <c r="AV33" i="29"/>
  <c r="BS32" i="29"/>
  <c r="BR32" i="29"/>
  <c r="BQ32" i="29"/>
  <c r="BP32" i="29"/>
  <c r="BO32" i="29"/>
  <c r="BN32" i="29"/>
  <c r="BM32" i="29"/>
  <c r="BL32" i="29"/>
  <c r="BK32" i="29"/>
  <c r="BJ32" i="29"/>
  <c r="BI32" i="29"/>
  <c r="BH32" i="29"/>
  <c r="BG32" i="29"/>
  <c r="BF32" i="29"/>
  <c r="BE32" i="29"/>
  <c r="BD32" i="29"/>
  <c r="BC32" i="29"/>
  <c r="BB32" i="29"/>
  <c r="BA32" i="29"/>
  <c r="AZ32" i="29"/>
  <c r="AY32" i="29"/>
  <c r="AX32" i="29"/>
  <c r="AW32" i="29"/>
  <c r="AV32" i="29"/>
  <c r="AH88" i="31" l="1"/>
  <c r="AB54" i="31"/>
  <c r="T54" i="31"/>
  <c r="Q54" i="31"/>
  <c r="A20" i="31"/>
  <c r="AE122" i="31"/>
  <c r="W122" i="31"/>
  <c r="AI122" i="31" s="1"/>
  <c r="AE54" i="31"/>
  <c r="W54" i="31"/>
  <c r="AI54" i="31" s="1"/>
  <c r="A8" i="31"/>
  <c r="AB88" i="31"/>
  <c r="T88" i="31"/>
  <c r="Q88" i="31"/>
  <c r="AH122" i="31"/>
  <c r="AE88" i="31"/>
  <c r="W88" i="31"/>
  <c r="AI88" i="31" s="1"/>
  <c r="AB122" i="31"/>
  <c r="T122" i="31"/>
  <c r="Q122" i="31"/>
  <c r="AH54" i="31"/>
  <c r="M102" i="29"/>
  <c r="L105" i="29"/>
  <c r="AU34" i="29"/>
  <c r="O1" i="29"/>
  <c r="N1" i="29"/>
  <c r="M1" i="29"/>
  <c r="L1" i="29"/>
  <c r="K1" i="29"/>
  <c r="J1" i="29"/>
  <c r="I1" i="29"/>
  <c r="H1" i="29"/>
  <c r="G1" i="29"/>
  <c r="N53" i="29" s="1"/>
  <c r="AJ37" i="28"/>
  <c r="AC122" i="31" l="1"/>
  <c r="U122" i="31"/>
  <c r="AC88" i="31"/>
  <c r="U88" i="31"/>
  <c r="AF122" i="31"/>
  <c r="X122" i="31"/>
  <c r="AF88" i="31"/>
  <c r="X88" i="31"/>
  <c r="AC54" i="31"/>
  <c r="U54" i="31"/>
  <c r="AF54" i="31"/>
  <c r="X54" i="31"/>
  <c r="AJ54" i="31" s="1"/>
  <c r="R53" i="29"/>
  <c r="Z53" i="29"/>
  <c r="O53" i="29"/>
  <c r="N87" i="29"/>
  <c r="O87" i="29" s="1"/>
  <c r="S87" i="29" s="1"/>
  <c r="M46" i="28"/>
  <c r="K36" i="28"/>
  <c r="L32" i="28"/>
  <c r="L37" i="28" s="1"/>
  <c r="M32" i="28"/>
  <c r="M36" i="28" s="1"/>
  <c r="K32" i="28"/>
  <c r="D56" i="23"/>
  <c r="E56" i="23"/>
  <c r="F56" i="23"/>
  <c r="G56" i="23"/>
  <c r="H56" i="23"/>
  <c r="C56" i="23"/>
  <c r="Z37" i="28"/>
  <c r="AU71" i="27"/>
  <c r="AU70" i="27"/>
  <c r="AT47" i="27"/>
  <c r="AT48" i="27" s="1"/>
  <c r="AT49" i="27" s="1"/>
  <c r="AT50" i="27" s="1"/>
  <c r="AT51" i="27" s="1"/>
  <c r="AT52" i="27" s="1"/>
  <c r="AT53" i="27" s="1"/>
  <c r="AT54" i="27" s="1"/>
  <c r="AT55" i="27" s="1"/>
  <c r="AT56" i="27" s="1"/>
  <c r="AT57" i="27" s="1"/>
  <c r="AT58" i="27" s="1"/>
  <c r="AT59" i="27" s="1"/>
  <c r="AT60" i="27" s="1"/>
  <c r="AT61" i="27" s="1"/>
  <c r="AT62" i="27" s="1"/>
  <c r="AT63" i="27" s="1"/>
  <c r="AT64" i="27" s="1"/>
  <c r="AT65" i="27" s="1"/>
  <c r="AT66" i="27" s="1"/>
  <c r="AT67" i="27" s="1"/>
  <c r="AT68" i="27" s="1"/>
  <c r="AT69" i="27" s="1"/>
  <c r="L47" i="28" l="1"/>
  <c r="L38" i="28"/>
  <c r="K47" i="28"/>
  <c r="M44" i="28"/>
  <c r="K45" i="28"/>
  <c r="L44" i="28"/>
  <c r="K42" i="28"/>
  <c r="M43" i="28"/>
  <c r="K41" i="28"/>
  <c r="M41" i="28"/>
  <c r="K39" i="28"/>
  <c r="L41" i="28"/>
  <c r="M47" i="28"/>
  <c r="M38" i="28"/>
  <c r="L50" i="28"/>
  <c r="K43" i="28"/>
  <c r="K37" i="28"/>
  <c r="L45" i="28"/>
  <c r="L42" i="28"/>
  <c r="L39" i="28"/>
  <c r="L36" i="28"/>
  <c r="K46" i="28"/>
  <c r="K40" i="28"/>
  <c r="M40" i="28"/>
  <c r="M37" i="28"/>
  <c r="K50" i="28"/>
  <c r="K44" i="28"/>
  <c r="K38" i="28"/>
  <c r="L46" i="28"/>
  <c r="L43" i="28"/>
  <c r="L40" i="28"/>
  <c r="M50" i="28"/>
  <c r="M45" i="28"/>
  <c r="M42" i="28"/>
  <c r="M39" i="28"/>
  <c r="AJ122" i="31"/>
  <c r="AG54" i="31"/>
  <c r="Y54" i="31"/>
  <c r="AJ88" i="31"/>
  <c r="AG122" i="31"/>
  <c r="Y122" i="31"/>
  <c r="AG88" i="31"/>
  <c r="Y88" i="31"/>
  <c r="S53" i="29"/>
  <c r="AA53" i="29"/>
  <c r="P53" i="29"/>
  <c r="V53" i="29"/>
  <c r="AH53" i="29" s="1"/>
  <c r="AD53" i="29"/>
  <c r="R87" i="29"/>
  <c r="V87" i="29" s="1"/>
  <c r="P87" i="29"/>
  <c r="T87" i="29" s="1"/>
  <c r="Z87" i="29"/>
  <c r="N121" i="29"/>
  <c r="AA87" i="29"/>
  <c r="AE87" i="29"/>
  <c r="W87" i="29"/>
  <c r="AI87" i="29" s="1"/>
  <c r="H43" i="30"/>
  <c r="J42" i="30"/>
  <c r="K42" i="30"/>
  <c r="K3" i="30"/>
  <c r="K4" i="30"/>
  <c r="K5" i="30"/>
  <c r="K6" i="30"/>
  <c r="K7" i="30"/>
  <c r="K8" i="30"/>
  <c r="K9" i="30"/>
  <c r="K10" i="30"/>
  <c r="K11" i="30"/>
  <c r="K12" i="30"/>
  <c r="K13" i="30"/>
  <c r="K14" i="30"/>
  <c r="K15" i="30"/>
  <c r="K16" i="30"/>
  <c r="K17" i="30"/>
  <c r="K18" i="30"/>
  <c r="K19" i="30"/>
  <c r="K20" i="30"/>
  <c r="K21" i="30"/>
  <c r="K22" i="30"/>
  <c r="K23" i="30"/>
  <c r="K24" i="30"/>
  <c r="K25" i="30"/>
  <c r="K26" i="30"/>
  <c r="K27" i="30"/>
  <c r="K28" i="30"/>
  <c r="K29" i="30"/>
  <c r="K30" i="30"/>
  <c r="K31" i="30"/>
  <c r="K32" i="30"/>
  <c r="K33" i="30"/>
  <c r="K34" i="30"/>
  <c r="K35" i="30"/>
  <c r="K36" i="30"/>
  <c r="K37" i="30"/>
  <c r="K38" i="30"/>
  <c r="K39" i="30"/>
  <c r="K40" i="30"/>
  <c r="K41" i="30"/>
  <c r="K2" i="30"/>
  <c r="J3" i="30"/>
  <c r="J4" i="30"/>
  <c r="J5" i="30"/>
  <c r="J6" i="30"/>
  <c r="J7" i="30"/>
  <c r="J8" i="30"/>
  <c r="J9" i="30"/>
  <c r="J10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J35" i="30"/>
  <c r="J36" i="30"/>
  <c r="J37" i="30"/>
  <c r="J38" i="30"/>
  <c r="J39" i="30"/>
  <c r="J40" i="30"/>
  <c r="J41" i="30"/>
  <c r="J2" i="30"/>
  <c r="R50" i="30"/>
  <c r="R45" i="30"/>
  <c r="R46" i="30"/>
  <c r="R47" i="30"/>
  <c r="R48" i="30"/>
  <c r="R49" i="30"/>
  <c r="R44" i="30"/>
  <c r="L62" i="28" l="1"/>
  <c r="L55" i="28"/>
  <c r="L58" i="28"/>
  <c r="L61" i="28"/>
  <c r="L64" i="28"/>
  <c r="L59" i="28"/>
  <c r="L65" i="28"/>
  <c r="L56" i="28"/>
  <c r="L54" i="28"/>
  <c r="L57" i="28"/>
  <c r="L60" i="28"/>
  <c r="L63" i="28"/>
  <c r="K56" i="28"/>
  <c r="K62" i="28"/>
  <c r="K57" i="28"/>
  <c r="K63" i="28"/>
  <c r="K65" i="28"/>
  <c r="K54" i="28"/>
  <c r="K58" i="28"/>
  <c r="K64" i="28"/>
  <c r="K60" i="28"/>
  <c r="K55" i="28"/>
  <c r="K61" i="28"/>
  <c r="K59" i="28"/>
  <c r="M54" i="28"/>
  <c r="M57" i="28"/>
  <c r="M60" i="28"/>
  <c r="M63" i="28"/>
  <c r="M56" i="28"/>
  <c r="M59" i="28"/>
  <c r="M55" i="28"/>
  <c r="M58" i="28"/>
  <c r="M61" i="28"/>
  <c r="M64" i="28"/>
  <c r="M65" i="28"/>
  <c r="M62" i="28"/>
  <c r="AK54" i="31"/>
  <c r="AK88" i="31"/>
  <c r="AK122" i="31"/>
  <c r="T53" i="29"/>
  <c r="AB53" i="29"/>
  <c r="Q53" i="29"/>
  <c r="AE53" i="29"/>
  <c r="W53" i="29"/>
  <c r="AI53" i="29" s="1"/>
  <c r="AB87" i="29"/>
  <c r="Q87" i="29"/>
  <c r="AC87" i="29" s="1"/>
  <c r="AD87" i="29"/>
  <c r="O121" i="29"/>
  <c r="R121" i="29"/>
  <c r="Z121" i="29"/>
  <c r="AH87" i="29"/>
  <c r="AF87" i="29"/>
  <c r="X87" i="29"/>
  <c r="AJ87" i="29" s="1"/>
  <c r="F42" i="30"/>
  <c r="E42" i="30"/>
  <c r="H42" i="30" s="1"/>
  <c r="D42" i="30"/>
  <c r="C42" i="30"/>
  <c r="G42" i="30" s="1"/>
  <c r="B42" i="30"/>
  <c r="H41" i="30"/>
  <c r="G41" i="30"/>
  <c r="H40" i="30"/>
  <c r="G40" i="30"/>
  <c r="H39" i="30"/>
  <c r="G39" i="30"/>
  <c r="H38" i="30"/>
  <c r="G38" i="30"/>
  <c r="H37" i="30"/>
  <c r="G37" i="30"/>
  <c r="H36" i="30"/>
  <c r="G36" i="30"/>
  <c r="H35" i="30"/>
  <c r="G35" i="30"/>
  <c r="H34" i="30"/>
  <c r="G34" i="30"/>
  <c r="H33" i="30"/>
  <c r="G33" i="30"/>
  <c r="H32" i="30"/>
  <c r="G32" i="30"/>
  <c r="H31" i="30"/>
  <c r="G31" i="30"/>
  <c r="H30" i="30"/>
  <c r="G30" i="30"/>
  <c r="H29" i="30"/>
  <c r="G29" i="30"/>
  <c r="H28" i="30"/>
  <c r="G28" i="30"/>
  <c r="H27" i="30"/>
  <c r="G27" i="30"/>
  <c r="H26" i="30"/>
  <c r="G26" i="30"/>
  <c r="H25" i="30"/>
  <c r="G25" i="30"/>
  <c r="H24" i="30"/>
  <c r="G24" i="30"/>
  <c r="H23" i="30"/>
  <c r="G23" i="30"/>
  <c r="H22" i="30"/>
  <c r="G22" i="30"/>
  <c r="H21" i="30"/>
  <c r="G21" i="30"/>
  <c r="H20" i="30"/>
  <c r="G20" i="30"/>
  <c r="H19" i="30"/>
  <c r="G19" i="30"/>
  <c r="H18" i="30"/>
  <c r="G18" i="30"/>
  <c r="H17" i="30"/>
  <c r="G17" i="30"/>
  <c r="H16" i="30"/>
  <c r="G16" i="30"/>
  <c r="H15" i="30"/>
  <c r="G15" i="30"/>
  <c r="H14" i="30"/>
  <c r="G14" i="30"/>
  <c r="H13" i="30"/>
  <c r="G13" i="30"/>
  <c r="H12" i="30"/>
  <c r="G12" i="30"/>
  <c r="H11" i="30"/>
  <c r="G11" i="30"/>
  <c r="H10" i="30"/>
  <c r="G10" i="30"/>
  <c r="H9" i="30"/>
  <c r="G9" i="30"/>
  <c r="H8" i="30"/>
  <c r="G8" i="30"/>
  <c r="H7" i="30"/>
  <c r="G7" i="30"/>
  <c r="H6" i="30"/>
  <c r="G6" i="30"/>
  <c r="H5" i="30"/>
  <c r="G5" i="30"/>
  <c r="H4" i="30"/>
  <c r="G4" i="30"/>
  <c r="H3" i="30"/>
  <c r="G3" i="30"/>
  <c r="H2" i="30"/>
  <c r="G2" i="30"/>
  <c r="X53" i="29" l="1"/>
  <c r="AJ53" i="29" s="1"/>
  <c r="AF53" i="29"/>
  <c r="AC53" i="29"/>
  <c r="U53" i="29"/>
  <c r="U87" i="29"/>
  <c r="Y87" i="29" s="1"/>
  <c r="AK87" i="29" s="1"/>
  <c r="AD121" i="29"/>
  <c r="V121" i="29"/>
  <c r="AA121" i="29"/>
  <c r="S121" i="29"/>
  <c r="P121" i="29"/>
  <c r="Q93" i="29"/>
  <c r="P93" i="29"/>
  <c r="O93" i="29"/>
  <c r="N93" i="29"/>
  <c r="Q59" i="29"/>
  <c r="P59" i="29"/>
  <c r="O59" i="29"/>
  <c r="N59" i="29"/>
  <c r="Q25" i="29"/>
  <c r="P25" i="29"/>
  <c r="O25" i="29"/>
  <c r="N25" i="29"/>
  <c r="A65" i="28"/>
  <c r="A64" i="28"/>
  <c r="A63" i="28"/>
  <c r="A62" i="28"/>
  <c r="A61" i="28"/>
  <c r="A60" i="28"/>
  <c r="A59" i="28"/>
  <c r="A58" i="28"/>
  <c r="A57" i="28"/>
  <c r="A56" i="28"/>
  <c r="A55" i="28"/>
  <c r="A54" i="28"/>
  <c r="A9" i="29"/>
  <c r="A13" i="29"/>
  <c r="A17" i="29"/>
  <c r="A5" i="29"/>
  <c r="X32" i="28"/>
  <c r="G2" i="31" s="1"/>
  <c r="J2" i="31" s="1"/>
  <c r="M2" i="31" s="1"/>
  <c r="Y32" i="28"/>
  <c r="I2" i="31" s="1"/>
  <c r="L2" i="31" s="1"/>
  <c r="O2" i="31" s="1"/>
  <c r="W32" i="28"/>
  <c r="H2" i="31" s="1"/>
  <c r="K2" i="31" s="1"/>
  <c r="N2" i="31" s="1"/>
  <c r="A37" i="28"/>
  <c r="A38" i="28"/>
  <c r="A39" i="28"/>
  <c r="A40" i="28"/>
  <c r="A41" i="28"/>
  <c r="A42" i="28"/>
  <c r="A43" i="28"/>
  <c r="A44" i="28"/>
  <c r="A45" i="28"/>
  <c r="A46" i="28"/>
  <c r="A47" i="28"/>
  <c r="A36" i="28"/>
  <c r="C8" i="29"/>
  <c r="C7" i="29"/>
  <c r="D18" i="29"/>
  <c r="D19" i="29" s="1"/>
  <c r="D20" i="29" s="1"/>
  <c r="D14" i="29"/>
  <c r="D15" i="29" s="1"/>
  <c r="D16" i="29" s="1"/>
  <c r="D10" i="29"/>
  <c r="A10" i="29" s="1"/>
  <c r="F9" i="29"/>
  <c r="F13" i="29" s="1"/>
  <c r="F17" i="29" s="1"/>
  <c r="F10" i="29"/>
  <c r="F14" i="29" s="1"/>
  <c r="F18" i="29" s="1"/>
  <c r="F11" i="29"/>
  <c r="F15" i="29" s="1"/>
  <c r="F19" i="29" s="1"/>
  <c r="C19" i="29" s="1"/>
  <c r="F12" i="29"/>
  <c r="F16" i="29" s="1"/>
  <c r="F20" i="29" s="1"/>
  <c r="C20" i="29" s="1"/>
  <c r="E10" i="29"/>
  <c r="E14" i="29" s="1"/>
  <c r="E18" i="29" s="1"/>
  <c r="E11" i="29"/>
  <c r="E15" i="29" s="1"/>
  <c r="E19" i="29" s="1"/>
  <c r="E12" i="29"/>
  <c r="E16" i="29" s="1"/>
  <c r="E20" i="29" s="1"/>
  <c r="E9" i="29"/>
  <c r="E13" i="29" s="1"/>
  <c r="E17" i="29" s="1"/>
  <c r="D6" i="29"/>
  <c r="A6" i="29" s="1"/>
  <c r="P54" i="28"/>
  <c r="P55" i="28" s="1"/>
  <c r="P36" i="28"/>
  <c r="P37" i="28" s="1"/>
  <c r="P2" i="28"/>
  <c r="G32" i="28" s="1"/>
  <c r="Q2" i="28"/>
  <c r="H32" i="28" s="1"/>
  <c r="R2" i="28"/>
  <c r="I32" i="28" s="1"/>
  <c r="S2" i="28"/>
  <c r="J32" i="28" s="1"/>
  <c r="O2" i="28"/>
  <c r="F32" i="28" s="1"/>
  <c r="A7" i="28"/>
  <c r="A8" i="28"/>
  <c r="A9" i="28"/>
  <c r="A10" i="28"/>
  <c r="A11" i="28"/>
  <c r="A6" i="28"/>
  <c r="S7" i="28"/>
  <c r="S6" i="28"/>
  <c r="M6" i="28"/>
  <c r="Q6" i="28" s="1"/>
  <c r="M24" i="28"/>
  <c r="M25" i="28" s="1"/>
  <c r="M26" i="28" s="1"/>
  <c r="M27" i="28" s="1"/>
  <c r="M28" i="28" s="1"/>
  <c r="M29" i="28" s="1"/>
  <c r="K24" i="28"/>
  <c r="K25" i="28" s="1"/>
  <c r="K26" i="28" s="1"/>
  <c r="K27" i="28" s="1"/>
  <c r="K28" i="28" s="1"/>
  <c r="K29" i="28" s="1"/>
  <c r="M18" i="28"/>
  <c r="M19" i="28" s="1"/>
  <c r="M20" i="28" s="1"/>
  <c r="M21" i="28" s="1"/>
  <c r="M22" i="28" s="1"/>
  <c r="M23" i="28" s="1"/>
  <c r="K18" i="28"/>
  <c r="L18" i="28" s="1"/>
  <c r="M12" i="28"/>
  <c r="M13" i="28" s="1"/>
  <c r="M14" i="28" s="1"/>
  <c r="M15" i="28" s="1"/>
  <c r="M16" i="28" s="1"/>
  <c r="M17" i="28" s="1"/>
  <c r="K12" i="28"/>
  <c r="D12" i="28"/>
  <c r="D18" i="28" s="1"/>
  <c r="D24" i="28" s="1"/>
  <c r="E12" i="28"/>
  <c r="E18" i="28" s="1"/>
  <c r="E24" i="28" s="1"/>
  <c r="F12" i="28"/>
  <c r="F18" i="28" s="1"/>
  <c r="F24" i="28" s="1"/>
  <c r="G12" i="28"/>
  <c r="G18" i="28" s="1"/>
  <c r="G24" i="28" s="1"/>
  <c r="H12" i="28"/>
  <c r="H18" i="28" s="1"/>
  <c r="H24" i="28" s="1"/>
  <c r="I12" i="28"/>
  <c r="I18" i="28" s="1"/>
  <c r="I24" i="28" s="1"/>
  <c r="J12" i="28"/>
  <c r="J18" i="28" s="1"/>
  <c r="D13" i="28"/>
  <c r="D19" i="28" s="1"/>
  <c r="D25" i="28" s="1"/>
  <c r="E13" i="28"/>
  <c r="E19" i="28" s="1"/>
  <c r="E25" i="28" s="1"/>
  <c r="F13" i="28"/>
  <c r="F19" i="28" s="1"/>
  <c r="F25" i="28" s="1"/>
  <c r="G13" i="28"/>
  <c r="G19" i="28" s="1"/>
  <c r="H13" i="28"/>
  <c r="I13" i="28"/>
  <c r="J13" i="28"/>
  <c r="J19" i="28" s="1"/>
  <c r="D14" i="28"/>
  <c r="D20" i="28" s="1"/>
  <c r="D26" i="28" s="1"/>
  <c r="E14" i="28"/>
  <c r="E20" i="28" s="1"/>
  <c r="E26" i="28" s="1"/>
  <c r="D15" i="28"/>
  <c r="D21" i="28" s="1"/>
  <c r="D27" i="28" s="1"/>
  <c r="E15" i="28"/>
  <c r="E21" i="28" s="1"/>
  <c r="E27" i="28" s="1"/>
  <c r="D16" i="28"/>
  <c r="D22" i="28" s="1"/>
  <c r="D28" i="28" s="1"/>
  <c r="E16" i="28"/>
  <c r="E22" i="28" s="1"/>
  <c r="E28" i="28" s="1"/>
  <c r="D17" i="28"/>
  <c r="D23" i="28" s="1"/>
  <c r="D29" i="28" s="1"/>
  <c r="E17" i="28"/>
  <c r="E23" i="28" s="1"/>
  <c r="E29" i="28" s="1"/>
  <c r="C13" i="28"/>
  <c r="C19" i="28" s="1"/>
  <c r="C25" i="28" s="1"/>
  <c r="C14" i="28"/>
  <c r="C20" i="28" s="1"/>
  <c r="C26" i="28" s="1"/>
  <c r="C15" i="28"/>
  <c r="C21" i="28" s="1"/>
  <c r="C27" i="28" s="1"/>
  <c r="C16" i="28"/>
  <c r="C22" i="28" s="1"/>
  <c r="C28" i="28" s="1"/>
  <c r="C17" i="28"/>
  <c r="C23" i="28" s="1"/>
  <c r="C29" i="28" s="1"/>
  <c r="C12" i="28"/>
  <c r="C18" i="28" s="1"/>
  <c r="C24" i="28" s="1"/>
  <c r="K6" i="28"/>
  <c r="K7" i="28" s="1"/>
  <c r="K8" i="28" s="1"/>
  <c r="K9" i="28" s="1"/>
  <c r="K10" i="28" s="1"/>
  <c r="K11" i="28" s="1"/>
  <c r="Q17" i="5"/>
  <c r="J8" i="28"/>
  <c r="J14" i="28" s="1"/>
  <c r="J20" i="28" s="1"/>
  <c r="G8" i="28"/>
  <c r="G14" i="28" s="1"/>
  <c r="G20" i="28" s="1"/>
  <c r="G26" i="28" s="1"/>
  <c r="I8" i="28"/>
  <c r="I14" i="28" s="1"/>
  <c r="I20" i="28" s="1"/>
  <c r="H8" i="28"/>
  <c r="H14" i="28" s="1"/>
  <c r="F8" i="28"/>
  <c r="F14" i="28" s="1"/>
  <c r="N10" i="27"/>
  <c r="L10" i="27"/>
  <c r="N8" i="27"/>
  <c r="L8" i="27"/>
  <c r="P12" i="27" s="1"/>
  <c r="AF71" i="27"/>
  <c r="H38" i="28" l="1"/>
  <c r="A24" i="28"/>
  <c r="H2" i="29"/>
  <c r="K2" i="29" s="1"/>
  <c r="J38" i="28"/>
  <c r="AC38" i="28" s="1"/>
  <c r="J56" i="28"/>
  <c r="S56" i="28" s="1"/>
  <c r="I2" i="29"/>
  <c r="L2" i="29" s="1"/>
  <c r="O2" i="29" s="1"/>
  <c r="G2" i="29"/>
  <c r="J2" i="29" s="1"/>
  <c r="M2" i="29" s="1"/>
  <c r="Y53" i="29"/>
  <c r="AK53" i="29" s="1"/>
  <c r="AG53" i="29"/>
  <c r="AG87" i="29"/>
  <c r="AH121" i="29"/>
  <c r="AB121" i="29"/>
  <c r="T121" i="29"/>
  <c r="Q121" i="29"/>
  <c r="W121" i="29"/>
  <c r="AE121" i="29"/>
  <c r="A18" i="29"/>
  <c r="D11" i="29"/>
  <c r="C11" i="29"/>
  <c r="D7" i="29"/>
  <c r="C12" i="29"/>
  <c r="A14" i="29"/>
  <c r="C15" i="29"/>
  <c r="A15" i="29" s="1"/>
  <c r="A20" i="29"/>
  <c r="C16" i="29"/>
  <c r="A16" i="29" s="1"/>
  <c r="A19" i="29"/>
  <c r="AJ54" i="28"/>
  <c r="Z54" i="28"/>
  <c r="G10" i="28"/>
  <c r="G11" i="28" s="1"/>
  <c r="G17" i="28" s="1"/>
  <c r="G23" i="28" s="1"/>
  <c r="G29" i="28" s="1"/>
  <c r="Q12" i="27"/>
  <c r="I10" i="28" s="1"/>
  <c r="I16" i="28" s="1"/>
  <c r="I22" i="28" s="1"/>
  <c r="I28" i="28" s="1"/>
  <c r="R12" i="27"/>
  <c r="J10" i="28" s="1"/>
  <c r="J16" i="28" s="1"/>
  <c r="S16" i="28" s="1"/>
  <c r="O12" i="28"/>
  <c r="A12" i="28"/>
  <c r="A29" i="28"/>
  <c r="A28" i="28"/>
  <c r="S18" i="28"/>
  <c r="J24" i="28"/>
  <c r="S24" i="28" s="1"/>
  <c r="A27" i="28"/>
  <c r="S12" i="28"/>
  <c r="A26" i="28"/>
  <c r="N6" i="28"/>
  <c r="N7" i="28" s="1"/>
  <c r="N8" i="28" s="1"/>
  <c r="N9" i="28" s="1"/>
  <c r="N10" i="28" s="1"/>
  <c r="N11" i="28" s="1"/>
  <c r="A25" i="28"/>
  <c r="A18" i="28"/>
  <c r="A21" i="28"/>
  <c r="A15" i="28"/>
  <c r="Q14" i="28"/>
  <c r="Q24" i="28"/>
  <c r="A20" i="28"/>
  <c r="A14" i="28"/>
  <c r="Q12" i="28"/>
  <c r="A19" i="28"/>
  <c r="A13" i="28"/>
  <c r="I9" i="28"/>
  <c r="I15" i="28" s="1"/>
  <c r="I21" i="28" s="1"/>
  <c r="Q13" i="28"/>
  <c r="A17" i="28"/>
  <c r="A23" i="28"/>
  <c r="A22" i="28"/>
  <c r="A16" i="28"/>
  <c r="Q18" i="28"/>
  <c r="N18" i="28"/>
  <c r="N19" i="28" s="1"/>
  <c r="N20" i="28" s="1"/>
  <c r="N21" i="28" s="1"/>
  <c r="N22" i="28" s="1"/>
  <c r="N23" i="28" s="1"/>
  <c r="S14" i="28"/>
  <c r="L12" i="28"/>
  <c r="P12" i="28" s="1"/>
  <c r="N24" i="28"/>
  <c r="N25" i="28" s="1"/>
  <c r="N26" i="28" s="1"/>
  <c r="N27" i="28" s="1"/>
  <c r="N28" i="28" s="1"/>
  <c r="N29" i="28" s="1"/>
  <c r="S8" i="28"/>
  <c r="K13" i="28"/>
  <c r="K14" i="28" s="1"/>
  <c r="K15" i="28" s="1"/>
  <c r="K16" i="28" s="1"/>
  <c r="K17" i="28" s="1"/>
  <c r="I26" i="28"/>
  <c r="J25" i="28"/>
  <c r="S25" i="28" s="1"/>
  <c r="S19" i="28"/>
  <c r="O25" i="28"/>
  <c r="S20" i="28"/>
  <c r="J26" i="28"/>
  <c r="S26" i="28" s="1"/>
  <c r="L19" i="28"/>
  <c r="L20" i="28" s="1"/>
  <c r="L21" i="28" s="1"/>
  <c r="L22" i="28" s="1"/>
  <c r="L23" i="28" s="1"/>
  <c r="P18" i="28"/>
  <c r="L24" i="28"/>
  <c r="S13" i="28"/>
  <c r="O7" i="28"/>
  <c r="F56" i="28" s="1"/>
  <c r="F20" i="28"/>
  <c r="N12" i="28"/>
  <c r="O6" i="28"/>
  <c r="F38" i="28" s="1"/>
  <c r="G25" i="28"/>
  <c r="H20" i="28"/>
  <c r="H19" i="28"/>
  <c r="K19" i="28"/>
  <c r="I19" i="28"/>
  <c r="O24" i="28"/>
  <c r="O18" i="28"/>
  <c r="O8" i="28"/>
  <c r="F9" i="28"/>
  <c r="M7" i="28"/>
  <c r="J9" i="28"/>
  <c r="H9" i="28"/>
  <c r="L6" i="28"/>
  <c r="G9" i="28"/>
  <c r="AF70" i="27"/>
  <c r="AE47" i="27"/>
  <c r="AE48" i="27" s="1"/>
  <c r="AE49" i="27" s="1"/>
  <c r="AE50" i="27" s="1"/>
  <c r="AE51" i="27" s="1"/>
  <c r="AE52" i="27" s="1"/>
  <c r="AE53" i="27" s="1"/>
  <c r="AE54" i="27" s="1"/>
  <c r="AE55" i="27" s="1"/>
  <c r="AE56" i="27" s="1"/>
  <c r="AE57" i="27" s="1"/>
  <c r="AE58" i="27" s="1"/>
  <c r="AE59" i="27" s="1"/>
  <c r="AE60" i="27" s="1"/>
  <c r="AE61" i="27" s="1"/>
  <c r="AE62" i="27" s="1"/>
  <c r="AE63" i="27" s="1"/>
  <c r="AE64" i="27" s="1"/>
  <c r="AE65" i="27" s="1"/>
  <c r="AE66" i="27" s="1"/>
  <c r="AE67" i="27" s="1"/>
  <c r="AE68" i="27" s="1"/>
  <c r="AE69" i="27" s="1"/>
  <c r="J62" i="28" l="1"/>
  <c r="AM38" i="28"/>
  <c r="S38" i="28"/>
  <c r="J59" i="28"/>
  <c r="AC56" i="28"/>
  <c r="F65" i="28"/>
  <c r="H59" i="28"/>
  <c r="J65" i="28"/>
  <c r="H10" i="28"/>
  <c r="H11" i="28" s="1"/>
  <c r="AI121" i="29"/>
  <c r="U121" i="29"/>
  <c r="AC121" i="29"/>
  <c r="N2" i="29"/>
  <c r="AF121" i="29"/>
  <c r="X121" i="29"/>
  <c r="AJ121" i="29" s="1"/>
  <c r="D12" i="29"/>
  <c r="A11" i="29"/>
  <c r="D8" i="29"/>
  <c r="A7" i="29"/>
  <c r="G16" i="28"/>
  <c r="I11" i="28"/>
  <c r="R11" i="28" s="1"/>
  <c r="F44" i="28"/>
  <c r="H41" i="28"/>
  <c r="J41" i="28"/>
  <c r="AM41" i="28" s="1"/>
  <c r="J44" i="28"/>
  <c r="G41" i="28"/>
  <c r="AK41" i="28" s="1"/>
  <c r="G44" i="28"/>
  <c r="F41" i="28"/>
  <c r="H44" i="28"/>
  <c r="J47" i="28"/>
  <c r="F47" i="28"/>
  <c r="H47" i="28"/>
  <c r="S10" i="28"/>
  <c r="J37" i="28" s="1"/>
  <c r="J22" i="28"/>
  <c r="S22" i="28" s="1"/>
  <c r="J43" i="28" s="1"/>
  <c r="J11" i="28"/>
  <c r="S11" i="28" s="1"/>
  <c r="S12" i="27"/>
  <c r="F10" i="28"/>
  <c r="O10" i="28" s="1"/>
  <c r="F37" i="28" s="1"/>
  <c r="J45" i="28"/>
  <c r="O13" i="28"/>
  <c r="F59" i="28" s="1"/>
  <c r="R8" i="28"/>
  <c r="R10" i="28"/>
  <c r="R6" i="28"/>
  <c r="I38" i="28" s="1"/>
  <c r="R7" i="28"/>
  <c r="I56" i="28" s="1"/>
  <c r="R18" i="28"/>
  <c r="I44" i="28" s="1"/>
  <c r="F36" i="28"/>
  <c r="L13" i="28"/>
  <c r="L14" i="28" s="1"/>
  <c r="L15" i="28" s="1"/>
  <c r="L16" i="28" s="1"/>
  <c r="L17" i="28" s="1"/>
  <c r="H39" i="28"/>
  <c r="J36" i="28"/>
  <c r="J42" i="28"/>
  <c r="J40" i="28"/>
  <c r="R9" i="28"/>
  <c r="J39" i="28"/>
  <c r="R24" i="28"/>
  <c r="I47" i="28" s="1"/>
  <c r="R26" i="28"/>
  <c r="O14" i="28"/>
  <c r="F39" i="28" s="1"/>
  <c r="P19" i="28"/>
  <c r="G62" i="28" s="1"/>
  <c r="R20" i="28"/>
  <c r="R22" i="28"/>
  <c r="R28" i="28"/>
  <c r="P20" i="28"/>
  <c r="G42" i="28" s="1"/>
  <c r="M8" i="28"/>
  <c r="Q7" i="28"/>
  <c r="H56" i="28" s="1"/>
  <c r="Q19" i="28"/>
  <c r="H62" i="28" s="1"/>
  <c r="H25" i="28"/>
  <c r="Q25" i="28" s="1"/>
  <c r="H65" i="28" s="1"/>
  <c r="P23" i="28"/>
  <c r="H15" i="28"/>
  <c r="R19" i="28"/>
  <c r="I62" i="28" s="1"/>
  <c r="I25" i="28"/>
  <c r="R25" i="28" s="1"/>
  <c r="I65" i="28" s="1"/>
  <c r="H26" i="28"/>
  <c r="Q26" i="28" s="1"/>
  <c r="Q20" i="28"/>
  <c r="H42" i="28" s="1"/>
  <c r="R21" i="28"/>
  <c r="I27" i="28"/>
  <c r="R27" i="28" s="1"/>
  <c r="L25" i="28"/>
  <c r="L26" i="28" s="1"/>
  <c r="P24" i="28"/>
  <c r="G47" i="28" s="1"/>
  <c r="G15" i="28"/>
  <c r="J15" i="28"/>
  <c r="S9" i="28"/>
  <c r="G22" i="28"/>
  <c r="F15" i="28"/>
  <c r="O9" i="28"/>
  <c r="L7" i="28"/>
  <c r="P6" i="28"/>
  <c r="G38" i="28" s="1"/>
  <c r="N13" i="28"/>
  <c r="R12" i="28"/>
  <c r="I41" i="28" s="1"/>
  <c r="AL41" i="28" s="1"/>
  <c r="F26" i="28"/>
  <c r="O26" i="28" s="1"/>
  <c r="F45" i="28" s="1"/>
  <c r="K20" i="28"/>
  <c r="K21" i="28" s="1"/>
  <c r="K22" i="28" s="1"/>
  <c r="K23" i="28" s="1"/>
  <c r="O19" i="28"/>
  <c r="F62" i="28" s="1"/>
  <c r="J12" i="27"/>
  <c r="J11" i="27"/>
  <c r="J10" i="27"/>
  <c r="O10" i="27" s="1"/>
  <c r="J9" i="27"/>
  <c r="J8" i="27"/>
  <c r="J6" i="27"/>
  <c r="J5" i="27"/>
  <c r="J4" i="27"/>
  <c r="H16" i="28" l="1"/>
  <c r="J17" i="28"/>
  <c r="I17" i="28"/>
  <c r="AP56" i="28"/>
  <c r="AS56" i="28" s="1"/>
  <c r="O5" i="31" s="1"/>
  <c r="V107" i="31" s="1"/>
  <c r="AF56" i="28"/>
  <c r="AI56" i="28" s="1"/>
  <c r="L5" i="31" s="1"/>
  <c r="AL56" i="28"/>
  <c r="AB56" i="28"/>
  <c r="R56" i="28"/>
  <c r="AM56" i="28"/>
  <c r="V56" i="28"/>
  <c r="Y56" i="28" s="1"/>
  <c r="I5" i="31" s="1"/>
  <c r="F11" i="28"/>
  <c r="F17" i="28" s="1"/>
  <c r="O8" i="27"/>
  <c r="AM36" i="28"/>
  <c r="AC36" i="28"/>
  <c r="AM39" i="28"/>
  <c r="AC39" i="28"/>
  <c r="AP47" i="28"/>
  <c r="AO47" i="28"/>
  <c r="AE47" i="28"/>
  <c r="AF47" i="28"/>
  <c r="S40" i="28"/>
  <c r="AM40" i="28"/>
  <c r="AM37" i="28"/>
  <c r="AC37" i="28"/>
  <c r="AP44" i="28"/>
  <c r="AO44" i="28"/>
  <c r="AE44" i="28"/>
  <c r="AF44" i="28"/>
  <c r="AL38" i="28"/>
  <c r="AB38" i="28"/>
  <c r="AP38" i="28"/>
  <c r="AS38" i="28" s="1"/>
  <c r="AO38" i="28"/>
  <c r="AR38" i="28" s="1"/>
  <c r="AF38" i="28"/>
  <c r="AI38" i="28" s="1"/>
  <c r="AE38" i="28"/>
  <c r="AH38" i="28" s="1"/>
  <c r="AP41" i="28"/>
  <c r="AS41" i="28" s="1"/>
  <c r="AO41" i="28"/>
  <c r="AR41" i="28" s="1"/>
  <c r="AE41" i="28"/>
  <c r="AF41" i="28"/>
  <c r="AC40" i="28"/>
  <c r="Q38" i="28"/>
  <c r="AK38" i="28"/>
  <c r="AA38" i="28"/>
  <c r="AG121" i="29"/>
  <c r="Y121" i="29"/>
  <c r="AK121" i="29" s="1"/>
  <c r="AM42" i="28"/>
  <c r="AK42" i="28"/>
  <c r="AN41" i="28"/>
  <c r="AQ41" i="28" s="1"/>
  <c r="A12" i="29"/>
  <c r="A8" i="29"/>
  <c r="AC59" i="28"/>
  <c r="S39" i="28"/>
  <c r="V38" i="28"/>
  <c r="Y38" i="28" s="1"/>
  <c r="U38" i="28"/>
  <c r="X38" i="28" s="1"/>
  <c r="R38" i="28"/>
  <c r="U41" i="28"/>
  <c r="V41" i="28"/>
  <c r="J28" i="28"/>
  <c r="S28" i="28" s="1"/>
  <c r="J46" i="28" s="1"/>
  <c r="F16" i="28"/>
  <c r="O16" i="28" s="1"/>
  <c r="F40" i="28" s="1"/>
  <c r="P16" i="28"/>
  <c r="G40" i="28" s="1"/>
  <c r="P17" i="28"/>
  <c r="P14" i="28"/>
  <c r="G39" i="28" s="1"/>
  <c r="I37" i="28"/>
  <c r="I43" i="28"/>
  <c r="S36" i="28"/>
  <c r="S37" i="28"/>
  <c r="P13" i="28"/>
  <c r="G59" i="28" s="1"/>
  <c r="I45" i="28"/>
  <c r="I55" i="28"/>
  <c r="I54" i="28"/>
  <c r="I36" i="28"/>
  <c r="I42" i="28"/>
  <c r="AL42" i="28" s="1"/>
  <c r="F54" i="28"/>
  <c r="I63" i="28"/>
  <c r="I46" i="28"/>
  <c r="I60" i="28"/>
  <c r="J54" i="28"/>
  <c r="J55" i="28"/>
  <c r="G61" i="28"/>
  <c r="O20" i="28"/>
  <c r="F42" i="28" s="1"/>
  <c r="P25" i="28"/>
  <c r="G65" i="28" s="1"/>
  <c r="P22" i="28"/>
  <c r="G43" i="28" s="1"/>
  <c r="G28" i="28"/>
  <c r="O11" i="28"/>
  <c r="P15" i="28"/>
  <c r="G21" i="28"/>
  <c r="M9" i="28"/>
  <c r="Q8" i="28"/>
  <c r="J23" i="28"/>
  <c r="S17" i="28"/>
  <c r="J58" i="28" s="1"/>
  <c r="H17" i="28"/>
  <c r="Q15" i="28"/>
  <c r="H57" i="28" s="1"/>
  <c r="H21" i="28"/>
  <c r="L8" i="28"/>
  <c r="P7" i="28"/>
  <c r="G56" i="28" s="1"/>
  <c r="AO56" i="28" s="1"/>
  <c r="AR56" i="28" s="1"/>
  <c r="M5" i="31" s="1"/>
  <c r="I23" i="28"/>
  <c r="F21" i="28"/>
  <c r="O15" i="28"/>
  <c r="F57" i="28" s="1"/>
  <c r="S15" i="28"/>
  <c r="J57" i="28" s="1"/>
  <c r="J21" i="28"/>
  <c r="L27" i="28"/>
  <c r="L28" i="28" s="1"/>
  <c r="L29" i="28" s="1"/>
  <c r="P26" i="28"/>
  <c r="H22" i="28"/>
  <c r="Q16" i="28"/>
  <c r="H40" i="28" s="1"/>
  <c r="N14" i="28"/>
  <c r="R13" i="28"/>
  <c r="I59" i="28" s="1"/>
  <c r="B35" i="16"/>
  <c r="D21" i="16"/>
  <c r="C21" i="16"/>
  <c r="E21" i="16" s="1"/>
  <c r="B21" i="16"/>
  <c r="D20" i="16"/>
  <c r="C20" i="16"/>
  <c r="B20" i="16"/>
  <c r="D19" i="16"/>
  <c r="C19" i="16"/>
  <c r="E19" i="16" s="1"/>
  <c r="B19" i="16"/>
  <c r="D9" i="16"/>
  <c r="C3" i="16"/>
  <c r="E3" i="16" s="1"/>
  <c r="D77" i="22"/>
  <c r="N71" i="22"/>
  <c r="D83" i="22" s="1"/>
  <c r="N70" i="22"/>
  <c r="D79" i="22" s="1"/>
  <c r="Q67" i="22"/>
  <c r="O71" i="22" s="1"/>
  <c r="G67" i="22"/>
  <c r="N36" i="22"/>
  <c r="D81" i="22" s="1"/>
  <c r="N35" i="22"/>
  <c r="D35" i="22"/>
  <c r="D76" i="22" s="1"/>
  <c r="Q32" i="22"/>
  <c r="O36" i="22" s="1"/>
  <c r="E81" i="22" s="1"/>
  <c r="G32" i="22"/>
  <c r="E62" i="23"/>
  <c r="G61" i="23"/>
  <c r="E61" i="23"/>
  <c r="C61" i="23"/>
  <c r="G60" i="23"/>
  <c r="E60" i="23"/>
  <c r="C60" i="23"/>
  <c r="G59" i="23"/>
  <c r="C59" i="23"/>
  <c r="E52" i="23"/>
  <c r="K47" i="23"/>
  <c r="H62" i="23" s="1"/>
  <c r="J47" i="23"/>
  <c r="G62" i="23" s="1"/>
  <c r="I47" i="23"/>
  <c r="F62" i="23" s="1"/>
  <c r="H47" i="23"/>
  <c r="G47" i="23"/>
  <c r="F47" i="23"/>
  <c r="E47" i="23"/>
  <c r="H59" i="23" s="1"/>
  <c r="D47" i="23"/>
  <c r="D53" i="23" s="1"/>
  <c r="C47" i="23"/>
  <c r="C53" i="23" s="1"/>
  <c r="K46" i="23"/>
  <c r="J46" i="23"/>
  <c r="D62" i="23" s="1"/>
  <c r="I46" i="23"/>
  <c r="C62" i="23" s="1"/>
  <c r="H46" i="23"/>
  <c r="G46" i="23"/>
  <c r="F46" i="23"/>
  <c r="E46" i="23"/>
  <c r="E59" i="23" s="1"/>
  <c r="D46" i="23"/>
  <c r="D59" i="23" s="1"/>
  <c r="C46" i="23"/>
  <c r="Q5" i="4"/>
  <c r="M30" i="5"/>
  <c r="M29" i="5"/>
  <c r="M28" i="5"/>
  <c r="O22" i="5"/>
  <c r="S16" i="5"/>
  <c r="Q16" i="5"/>
  <c r="Q22" i="5" s="1"/>
  <c r="S22" i="5" s="1"/>
  <c r="J14" i="5"/>
  <c r="J13" i="5"/>
  <c r="J15" i="5" s="1"/>
  <c r="O11" i="5"/>
  <c r="S11" i="5" s="1"/>
  <c r="J11" i="5"/>
  <c r="S10" i="5"/>
  <c r="O10" i="5"/>
  <c r="J10" i="5"/>
  <c r="J12" i="5" s="1"/>
  <c r="J8" i="5"/>
  <c r="J7" i="5"/>
  <c r="J9" i="5" s="1"/>
  <c r="S5" i="5"/>
  <c r="P5" i="5"/>
  <c r="P11" i="5" s="1"/>
  <c r="N5" i="5"/>
  <c r="N17" i="5" s="1"/>
  <c r="M5" i="5"/>
  <c r="M17" i="5" s="1"/>
  <c r="R17" i="5" s="1"/>
  <c r="J5" i="5"/>
  <c r="S4" i="5"/>
  <c r="P4" i="5"/>
  <c r="N4" i="5"/>
  <c r="N16" i="5" s="1"/>
  <c r="M4" i="5"/>
  <c r="J4" i="5"/>
  <c r="J6" i="5" s="1"/>
  <c r="E27" i="14"/>
  <c r="C27" i="14"/>
  <c r="G20" i="14"/>
  <c r="E20" i="14"/>
  <c r="F27" i="14" s="1"/>
  <c r="G17" i="14"/>
  <c r="E17" i="14"/>
  <c r="G14" i="14"/>
  <c r="E14" i="14"/>
  <c r="D27" i="14" s="1"/>
  <c r="J17" i="24" s="1"/>
  <c r="G11" i="14"/>
  <c r="E11" i="14"/>
  <c r="J16" i="26"/>
  <c r="J6" i="26"/>
  <c r="J16" i="25"/>
  <c r="J6" i="25"/>
  <c r="J16" i="24"/>
  <c r="J21" i="24" s="1"/>
  <c r="J7" i="24"/>
  <c r="J6" i="24"/>
  <c r="J11" i="24" s="1"/>
  <c r="J17" i="18"/>
  <c r="J16" i="18"/>
  <c r="J21" i="18" s="1"/>
  <c r="J7" i="18"/>
  <c r="J6" i="18"/>
  <c r="J11" i="18" s="1"/>
  <c r="Y500" i="12"/>
  <c r="Y499" i="12"/>
  <c r="Y498" i="12"/>
  <c r="Y497" i="12"/>
  <c r="Y496" i="12"/>
  <c r="Y495" i="12"/>
  <c r="Y494" i="12"/>
  <c r="Y493" i="12"/>
  <c r="Y492" i="12"/>
  <c r="Y491" i="12"/>
  <c r="Y490" i="12"/>
  <c r="Y489" i="12"/>
  <c r="Y488" i="12"/>
  <c r="Y487" i="12"/>
  <c r="Y486" i="12"/>
  <c r="Y485" i="12"/>
  <c r="Y484" i="12"/>
  <c r="Y483" i="12"/>
  <c r="Y482" i="12"/>
  <c r="Y481" i="12"/>
  <c r="Y480" i="12"/>
  <c r="Y479" i="12"/>
  <c r="Y478" i="12"/>
  <c r="Y477" i="12"/>
  <c r="Y476" i="12"/>
  <c r="Y475" i="12"/>
  <c r="Y474" i="12"/>
  <c r="Y473" i="12"/>
  <c r="Y472" i="12"/>
  <c r="Y471" i="12"/>
  <c r="Y470" i="12"/>
  <c r="Y469" i="12"/>
  <c r="Y468" i="12"/>
  <c r="Y467" i="12"/>
  <c r="Y466" i="12"/>
  <c r="Y465" i="12"/>
  <c r="Y464" i="12"/>
  <c r="Y463" i="12"/>
  <c r="Y462" i="12"/>
  <c r="Y461" i="12"/>
  <c r="Y460" i="12"/>
  <c r="Y459" i="12"/>
  <c r="Y458" i="12"/>
  <c r="Y457" i="12"/>
  <c r="Y456" i="12"/>
  <c r="Y455" i="12"/>
  <c r="Y454" i="12"/>
  <c r="Y453" i="12"/>
  <c r="Y452" i="12"/>
  <c r="Y451" i="12"/>
  <c r="Y450" i="12"/>
  <c r="Y449" i="12"/>
  <c r="Y448" i="12"/>
  <c r="Y447" i="12"/>
  <c r="Y446" i="12"/>
  <c r="Y445" i="12"/>
  <c r="Y444" i="12"/>
  <c r="Y443" i="12"/>
  <c r="Y442" i="12"/>
  <c r="Y441" i="12"/>
  <c r="Y440" i="12"/>
  <c r="Y439" i="12"/>
  <c r="Y438" i="12"/>
  <c r="Y437" i="12"/>
  <c r="Y436" i="12"/>
  <c r="Y435" i="12"/>
  <c r="Y434" i="12"/>
  <c r="Y433" i="12"/>
  <c r="Y432" i="12"/>
  <c r="Y431" i="12"/>
  <c r="Y430" i="12"/>
  <c r="Y429" i="12"/>
  <c r="Y428" i="12"/>
  <c r="Y427" i="12"/>
  <c r="Y426" i="12"/>
  <c r="Y425" i="12"/>
  <c r="Y424" i="12"/>
  <c r="Y423" i="12"/>
  <c r="Y422" i="12"/>
  <c r="Y421" i="12"/>
  <c r="Y420" i="12"/>
  <c r="Y419" i="12"/>
  <c r="Y418" i="12"/>
  <c r="Y417" i="12"/>
  <c r="Y416" i="12"/>
  <c r="Y415" i="12"/>
  <c r="Y414" i="12"/>
  <c r="Y413" i="12"/>
  <c r="Y412" i="12"/>
  <c r="Y411" i="12"/>
  <c r="Y410" i="12"/>
  <c r="Y409" i="12"/>
  <c r="Y408" i="12"/>
  <c r="Y407" i="12"/>
  <c r="Y406" i="12"/>
  <c r="Y405" i="12"/>
  <c r="Y404" i="12"/>
  <c r="Y403" i="12"/>
  <c r="Y402" i="12"/>
  <c r="Y401" i="12"/>
  <c r="Y400" i="12"/>
  <c r="Y399" i="12"/>
  <c r="Y398" i="12"/>
  <c r="Y397" i="12"/>
  <c r="Y396" i="12"/>
  <c r="Y395" i="12"/>
  <c r="Y394" i="12"/>
  <c r="Y393" i="12"/>
  <c r="Y392" i="12"/>
  <c r="Y391" i="12"/>
  <c r="Y390" i="12"/>
  <c r="Y389" i="12"/>
  <c r="Y388" i="12"/>
  <c r="Y387" i="12"/>
  <c r="Y386" i="12"/>
  <c r="Y385" i="12"/>
  <c r="Y384" i="12"/>
  <c r="Y383" i="12"/>
  <c r="Y382" i="12"/>
  <c r="Y381" i="12"/>
  <c r="Y380" i="12"/>
  <c r="Y379" i="12"/>
  <c r="Y378" i="12"/>
  <c r="Y377" i="12"/>
  <c r="Y376" i="12"/>
  <c r="Y375" i="12"/>
  <c r="Y374" i="12"/>
  <c r="Y373" i="12"/>
  <c r="Y372" i="12"/>
  <c r="Y371" i="12"/>
  <c r="Y370" i="12"/>
  <c r="Y369" i="12"/>
  <c r="Y368" i="12"/>
  <c r="Y367" i="12"/>
  <c r="Y366" i="12"/>
  <c r="Y365" i="12"/>
  <c r="Y364" i="12"/>
  <c r="Y363" i="12"/>
  <c r="Y362" i="12"/>
  <c r="Y361" i="12"/>
  <c r="Y360" i="12"/>
  <c r="Y359" i="12"/>
  <c r="Y358" i="12"/>
  <c r="Y357" i="12"/>
  <c r="Y356" i="12"/>
  <c r="Y355" i="12"/>
  <c r="Y354" i="12"/>
  <c r="Y353" i="12"/>
  <c r="Y352" i="12"/>
  <c r="Y351" i="12"/>
  <c r="Y350" i="12"/>
  <c r="Y349" i="12"/>
  <c r="Y348" i="12"/>
  <c r="Y347" i="12"/>
  <c r="Y346" i="12"/>
  <c r="Y345" i="12"/>
  <c r="Y344" i="12"/>
  <c r="Y343" i="12"/>
  <c r="Y342" i="12"/>
  <c r="Y341" i="12"/>
  <c r="Y340" i="12"/>
  <c r="Y339" i="12"/>
  <c r="Y338" i="12"/>
  <c r="Y337" i="12"/>
  <c r="Y336" i="12"/>
  <c r="Y335" i="12"/>
  <c r="Y334" i="12"/>
  <c r="Y333" i="12"/>
  <c r="Y332" i="12"/>
  <c r="Y331" i="12"/>
  <c r="Y330" i="12"/>
  <c r="Y329" i="12"/>
  <c r="Y328" i="12"/>
  <c r="Y327" i="12"/>
  <c r="Y326" i="12"/>
  <c r="Y325" i="12"/>
  <c r="Y324" i="12"/>
  <c r="Y323" i="12"/>
  <c r="Y322" i="12"/>
  <c r="Y321" i="12"/>
  <c r="Y320" i="12"/>
  <c r="Y319" i="12"/>
  <c r="Y318" i="12"/>
  <c r="Y317" i="12"/>
  <c r="Y316" i="12"/>
  <c r="Y315" i="12"/>
  <c r="Y314" i="12"/>
  <c r="Y313" i="12"/>
  <c r="Y312" i="12"/>
  <c r="Y311" i="12"/>
  <c r="Y310" i="12"/>
  <c r="Y309" i="12"/>
  <c r="Y308" i="12"/>
  <c r="Y307" i="12"/>
  <c r="Y306" i="12"/>
  <c r="Y305" i="12"/>
  <c r="Y304" i="12"/>
  <c r="Y303" i="12"/>
  <c r="Y302" i="12"/>
  <c r="Y301" i="12"/>
  <c r="Y300" i="12"/>
  <c r="Y299" i="12"/>
  <c r="Y298" i="12"/>
  <c r="Y297" i="12"/>
  <c r="Y296" i="12"/>
  <c r="Y295" i="12"/>
  <c r="Y294" i="12"/>
  <c r="Y293" i="12"/>
  <c r="Y292" i="12"/>
  <c r="Y291" i="12"/>
  <c r="Y290" i="12"/>
  <c r="Y289" i="12"/>
  <c r="Y288" i="12"/>
  <c r="Y287" i="12"/>
  <c r="Y286" i="12"/>
  <c r="Y285" i="12"/>
  <c r="Y284" i="12"/>
  <c r="Y283" i="12"/>
  <c r="Y282" i="12"/>
  <c r="Y281" i="12"/>
  <c r="Y280" i="12"/>
  <c r="Y279" i="12"/>
  <c r="Y278" i="12"/>
  <c r="Y277" i="12"/>
  <c r="Y276" i="12"/>
  <c r="Y275" i="12"/>
  <c r="Y274" i="12"/>
  <c r="Y273" i="12"/>
  <c r="Y272" i="12"/>
  <c r="Y271" i="12"/>
  <c r="Y270" i="12"/>
  <c r="Y269" i="12"/>
  <c r="Y268" i="12"/>
  <c r="Y267" i="12"/>
  <c r="Y266" i="12"/>
  <c r="Y265" i="12"/>
  <c r="Y264" i="12"/>
  <c r="Y263" i="12"/>
  <c r="Y262" i="12"/>
  <c r="Y261" i="12"/>
  <c r="Y260" i="12"/>
  <c r="Y259" i="12"/>
  <c r="Y258" i="12"/>
  <c r="Y257" i="12"/>
  <c r="Y256" i="12"/>
  <c r="Y255" i="12"/>
  <c r="Y254" i="12"/>
  <c r="Y253" i="12"/>
  <c r="Y252" i="12"/>
  <c r="Y251" i="12"/>
  <c r="Y250" i="12"/>
  <c r="Y249" i="12"/>
  <c r="Y248" i="12"/>
  <c r="Y247" i="12"/>
  <c r="Y246" i="12"/>
  <c r="Y245" i="12"/>
  <c r="Y244" i="12"/>
  <c r="Y243" i="12"/>
  <c r="Y242" i="12"/>
  <c r="Y241" i="12"/>
  <c r="Y240" i="12"/>
  <c r="Y239" i="12"/>
  <c r="Y238" i="12"/>
  <c r="Y237" i="12"/>
  <c r="Y236" i="12"/>
  <c r="Y235" i="12"/>
  <c r="Y234" i="12"/>
  <c r="Y233" i="12"/>
  <c r="Y232" i="12"/>
  <c r="Y231" i="12"/>
  <c r="Y230" i="12"/>
  <c r="Y229" i="12"/>
  <c r="Y228" i="12"/>
  <c r="Y227" i="12"/>
  <c r="Y226" i="12"/>
  <c r="Y225" i="12"/>
  <c r="Y224" i="12"/>
  <c r="Y223" i="12"/>
  <c r="Y222" i="12"/>
  <c r="Y221" i="12"/>
  <c r="Y220" i="12"/>
  <c r="Y219" i="12"/>
  <c r="Y218" i="12"/>
  <c r="Y217" i="12"/>
  <c r="Y216" i="12"/>
  <c r="Y215" i="12"/>
  <c r="Y214" i="12"/>
  <c r="Y213" i="12"/>
  <c r="Y212" i="12"/>
  <c r="Y211" i="12"/>
  <c r="Y210" i="12"/>
  <c r="Y209" i="12"/>
  <c r="Y208" i="12"/>
  <c r="Y207" i="12"/>
  <c r="Y206" i="12"/>
  <c r="Y205" i="12"/>
  <c r="Y204" i="12"/>
  <c r="Y203" i="12"/>
  <c r="Y202" i="12"/>
  <c r="Y201" i="12"/>
  <c r="Y200" i="12"/>
  <c r="Y199" i="12"/>
  <c r="Y198" i="12"/>
  <c r="Y197" i="12"/>
  <c r="Y196" i="12"/>
  <c r="Y195" i="12"/>
  <c r="Y194" i="12"/>
  <c r="Y193" i="12"/>
  <c r="Y192" i="12"/>
  <c r="Y191" i="12"/>
  <c r="Y190" i="12"/>
  <c r="Y189" i="12"/>
  <c r="Y188" i="12"/>
  <c r="Y187" i="12"/>
  <c r="Y186" i="12"/>
  <c r="Y185" i="12"/>
  <c r="Y184" i="12"/>
  <c r="Y183" i="12"/>
  <c r="Y182" i="12"/>
  <c r="Y181" i="12"/>
  <c r="Y180" i="12"/>
  <c r="Y179" i="12"/>
  <c r="Y178" i="12"/>
  <c r="Y177" i="12"/>
  <c r="Y176" i="12"/>
  <c r="Y175" i="12"/>
  <c r="Y174" i="12"/>
  <c r="Y173" i="12"/>
  <c r="Y172" i="12"/>
  <c r="Y171" i="12"/>
  <c r="Y170" i="12"/>
  <c r="Y169" i="12"/>
  <c r="Y168" i="12"/>
  <c r="Y167" i="12"/>
  <c r="Y166" i="12"/>
  <c r="Y165" i="12"/>
  <c r="Y164" i="12"/>
  <c r="Y163" i="12"/>
  <c r="Y162" i="12"/>
  <c r="Y161" i="12"/>
  <c r="Y160" i="12"/>
  <c r="Y159" i="12"/>
  <c r="Y158" i="12"/>
  <c r="Y157" i="12"/>
  <c r="Y156" i="12"/>
  <c r="Y155" i="12"/>
  <c r="Y154" i="12"/>
  <c r="Y153" i="12"/>
  <c r="Y152" i="12"/>
  <c r="Y151" i="12"/>
  <c r="Y150" i="12"/>
  <c r="Y149" i="12"/>
  <c r="Y148" i="12"/>
  <c r="Y147" i="12"/>
  <c r="Y146" i="12"/>
  <c r="Y145" i="12"/>
  <c r="Y144" i="12"/>
  <c r="Y143" i="12"/>
  <c r="Y142" i="12"/>
  <c r="Y141" i="12"/>
  <c r="Y140" i="12"/>
  <c r="Y139" i="12"/>
  <c r="Y138" i="12"/>
  <c r="Y137" i="12"/>
  <c r="Y136" i="12"/>
  <c r="Y135" i="12"/>
  <c r="Y134" i="12"/>
  <c r="Y133" i="12"/>
  <c r="Y132" i="12"/>
  <c r="Y131" i="12"/>
  <c r="Y130" i="12"/>
  <c r="Y129" i="12"/>
  <c r="Y128" i="12"/>
  <c r="Y127" i="12"/>
  <c r="Y126" i="12"/>
  <c r="Y125" i="12"/>
  <c r="Y124" i="12"/>
  <c r="Y123" i="12"/>
  <c r="Y122" i="12"/>
  <c r="Y121" i="12"/>
  <c r="Y120" i="12"/>
  <c r="Y119" i="12"/>
  <c r="Y118" i="12"/>
  <c r="Y117" i="12"/>
  <c r="K12" i="12"/>
  <c r="K11" i="12"/>
  <c r="K10" i="12"/>
  <c r="K9" i="12"/>
  <c r="F22" i="28" l="1"/>
  <c r="AD38" i="28"/>
  <c r="AG38" i="28" s="1"/>
  <c r="K5" i="29" s="1"/>
  <c r="AO59" i="28"/>
  <c r="AH107" i="31"/>
  <c r="V39" i="31"/>
  <c r="BD39" i="31" s="1"/>
  <c r="AH39" i="31"/>
  <c r="BP39" i="31" s="1"/>
  <c r="AB59" i="28"/>
  <c r="U56" i="28"/>
  <c r="X56" i="28" s="1"/>
  <c r="G5" i="31" s="1"/>
  <c r="AO43" i="28"/>
  <c r="AR43" i="28" s="1"/>
  <c r="Y41" i="28"/>
  <c r="I9" i="29" s="1"/>
  <c r="O106" i="29" s="1"/>
  <c r="R107" i="31"/>
  <c r="AD107" i="31"/>
  <c r="AK56" i="28"/>
  <c r="AN56" i="28" s="1"/>
  <c r="AQ56" i="28" s="1"/>
  <c r="N5" i="31" s="1"/>
  <c r="AA56" i="28"/>
  <c r="AD56" i="28" s="1"/>
  <c r="AG56" i="28" s="1"/>
  <c r="K5" i="31" s="1"/>
  <c r="Q56" i="28"/>
  <c r="T56" i="28" s="1"/>
  <c r="W56" i="28" s="1"/>
  <c r="H5" i="31" s="1"/>
  <c r="AE56" i="28"/>
  <c r="AH56" i="28" s="1"/>
  <c r="J5" i="31" s="1"/>
  <c r="X41" i="28"/>
  <c r="U59" i="28"/>
  <c r="Z107" i="31"/>
  <c r="N107" i="31"/>
  <c r="AA59" i="28"/>
  <c r="T38" i="28"/>
  <c r="W38" i="28" s="1"/>
  <c r="H5" i="29" s="1"/>
  <c r="AE59" i="28"/>
  <c r="AH59" i="28" s="1"/>
  <c r="AE42" i="28"/>
  <c r="AE43" i="28"/>
  <c r="AN38" i="28"/>
  <c r="AQ38" i="28" s="1"/>
  <c r="N5" i="29" s="1"/>
  <c r="AC57" i="28"/>
  <c r="AM57" i="28"/>
  <c r="S57" i="28"/>
  <c r="AF42" i="28"/>
  <c r="Q40" i="28"/>
  <c r="AK40" i="28"/>
  <c r="AA40" i="28"/>
  <c r="I5" i="29"/>
  <c r="N106" i="29" s="1"/>
  <c r="M9" i="29"/>
  <c r="W38" i="29" s="1"/>
  <c r="BE38" i="29" s="1"/>
  <c r="AO42" i="28"/>
  <c r="AR42" i="28" s="1"/>
  <c r="G5" i="29"/>
  <c r="N38" i="29" s="1"/>
  <c r="AV38" i="29" s="1"/>
  <c r="AM55" i="28"/>
  <c r="AC55" i="28"/>
  <c r="S55" i="28"/>
  <c r="R36" i="28"/>
  <c r="AL36" i="28"/>
  <c r="AB36" i="28"/>
  <c r="O9" i="29"/>
  <c r="AI106" i="29" s="1"/>
  <c r="AP42" i="28"/>
  <c r="AS42" i="28" s="1"/>
  <c r="S54" i="28"/>
  <c r="AC54" i="28"/>
  <c r="AM54" i="28"/>
  <c r="AB54" i="28"/>
  <c r="R54" i="28"/>
  <c r="AL54" i="28"/>
  <c r="J5" i="29"/>
  <c r="L5" i="29"/>
  <c r="R55" i="28"/>
  <c r="AL55" i="28"/>
  <c r="AB55" i="28"/>
  <c r="R37" i="28"/>
  <c r="AL37" i="28"/>
  <c r="AB37" i="28"/>
  <c r="AN42" i="28"/>
  <c r="AQ42" i="28" s="1"/>
  <c r="M5" i="29"/>
  <c r="AC58" i="28"/>
  <c r="S58" i="28"/>
  <c r="AM58" i="28"/>
  <c r="Q39" i="28"/>
  <c r="AK39" i="28"/>
  <c r="AA39" i="28"/>
  <c r="G9" i="29"/>
  <c r="O38" i="29" s="1"/>
  <c r="AW38" i="29" s="1"/>
  <c r="N9" i="29"/>
  <c r="O5" i="29"/>
  <c r="AM43" i="28"/>
  <c r="AL43" i="28"/>
  <c r="AK43" i="28"/>
  <c r="AC41" i="28"/>
  <c r="AB41" i="28"/>
  <c r="AI41" i="28"/>
  <c r="AA41" i="28"/>
  <c r="AH41" i="28"/>
  <c r="AM59" i="28"/>
  <c r="AP59" i="28"/>
  <c r="V59" i="28"/>
  <c r="AF59" i="28"/>
  <c r="AI59" i="28" s="1"/>
  <c r="S59" i="28"/>
  <c r="AB60" i="28"/>
  <c r="V42" i="28"/>
  <c r="Q41" i="28"/>
  <c r="R41" i="28"/>
  <c r="S41" i="28"/>
  <c r="U42" i="28"/>
  <c r="G58" i="28"/>
  <c r="G57" i="28"/>
  <c r="F55" i="28"/>
  <c r="H45" i="28"/>
  <c r="AP45" i="28" s="1"/>
  <c r="H36" i="28"/>
  <c r="P29" i="28"/>
  <c r="F27" i="28"/>
  <c r="O27" i="28" s="1"/>
  <c r="F63" i="28" s="1"/>
  <c r="O21" i="28"/>
  <c r="F60" i="28" s="1"/>
  <c r="J29" i="28"/>
  <c r="S29" i="28" s="1"/>
  <c r="J64" i="28" s="1"/>
  <c r="S23" i="28"/>
  <c r="J61" i="28" s="1"/>
  <c r="R23" i="28"/>
  <c r="I61" i="28" s="1"/>
  <c r="I29" i="28"/>
  <c r="R29" i="28" s="1"/>
  <c r="I64" i="28" s="1"/>
  <c r="O22" i="28"/>
  <c r="F43" i="28" s="1"/>
  <c r="F28" i="28"/>
  <c r="O28" i="28" s="1"/>
  <c r="F46" i="28" s="1"/>
  <c r="H28" i="28"/>
  <c r="Q28" i="28" s="1"/>
  <c r="Q22" i="28"/>
  <c r="H43" i="28" s="1"/>
  <c r="Q17" i="28"/>
  <c r="H58" i="28" s="1"/>
  <c r="H23" i="28"/>
  <c r="M10" i="28"/>
  <c r="Q9" i="28"/>
  <c r="F23" i="28"/>
  <c r="O17" i="28"/>
  <c r="F58" i="28" s="1"/>
  <c r="N15" i="28"/>
  <c r="R14" i="28"/>
  <c r="I39" i="28" s="1"/>
  <c r="S21" i="28"/>
  <c r="J60" i="28" s="1"/>
  <c r="J27" i="28"/>
  <c r="S27" i="28" s="1"/>
  <c r="J63" i="28" s="1"/>
  <c r="P28" i="28"/>
  <c r="L9" i="28"/>
  <c r="P8" i="28"/>
  <c r="Q21" i="28"/>
  <c r="H60" i="28" s="1"/>
  <c r="H27" i="28"/>
  <c r="Q27" i="28" s="1"/>
  <c r="P21" i="28"/>
  <c r="G60" i="28" s="1"/>
  <c r="G27" i="28"/>
  <c r="P27" i="28" s="1"/>
  <c r="J21" i="25"/>
  <c r="K14" i="12" s="1"/>
  <c r="F11" i="5"/>
  <c r="J17" i="25"/>
  <c r="J7" i="25"/>
  <c r="P10" i="5"/>
  <c r="F4" i="5" s="1"/>
  <c r="E71" i="22"/>
  <c r="E70" i="22"/>
  <c r="E78" i="22" s="1"/>
  <c r="D71" i="22"/>
  <c r="D82" i="22" s="1"/>
  <c r="J11" i="26"/>
  <c r="K15" i="12" s="1"/>
  <c r="J17" i="26"/>
  <c r="J7" i="26"/>
  <c r="R5" i="5"/>
  <c r="D61" i="23"/>
  <c r="D60" i="23"/>
  <c r="F60" i="23"/>
  <c r="F61" i="23"/>
  <c r="E83" i="22"/>
  <c r="J21" i="26"/>
  <c r="K16" i="12" s="1"/>
  <c r="R4" i="5"/>
  <c r="M10" i="5"/>
  <c r="R10" i="5" s="1"/>
  <c r="M16" i="5"/>
  <c r="R16" i="5" s="1"/>
  <c r="E36" i="22"/>
  <c r="E35" i="22"/>
  <c r="E76" i="22" s="1"/>
  <c r="D36" i="22"/>
  <c r="D80" i="22" s="1"/>
  <c r="D70" i="22"/>
  <c r="D78" i="22" s="1"/>
  <c r="E20" i="16"/>
  <c r="J11" i="25"/>
  <c r="K13" i="12" s="1"/>
  <c r="D14" i="5"/>
  <c r="M22" i="5"/>
  <c r="R22" i="5" s="1"/>
  <c r="O23" i="5"/>
  <c r="E8" i="5" s="1"/>
  <c r="H61" i="23"/>
  <c r="H60" i="23"/>
  <c r="C52" i="23"/>
  <c r="D7" i="5"/>
  <c r="M11" i="5"/>
  <c r="C11" i="5" s="1"/>
  <c r="F14" i="5"/>
  <c r="M23" i="5"/>
  <c r="R23" i="5" s="1"/>
  <c r="D52" i="23"/>
  <c r="E53" i="23"/>
  <c r="F59" i="23"/>
  <c r="O70" i="22"/>
  <c r="F8" i="5"/>
  <c r="D13" i="5"/>
  <c r="D15" i="5" s="1"/>
  <c r="O35" i="22"/>
  <c r="AS59" i="28" l="1"/>
  <c r="O9" i="31" s="1"/>
  <c r="AR59" i="28"/>
  <c r="M9" i="31" s="1"/>
  <c r="Z72" i="29"/>
  <c r="AD72" i="29"/>
  <c r="N73" i="31"/>
  <c r="Z73" i="31"/>
  <c r="Z38" i="29"/>
  <c r="BH38" i="29" s="1"/>
  <c r="N39" i="31"/>
  <c r="AV39" i="31" s="1"/>
  <c r="Z39" i="31"/>
  <c r="BH39" i="31" s="1"/>
  <c r="R59" i="28"/>
  <c r="R39" i="31"/>
  <c r="AZ39" i="31" s="1"/>
  <c r="AD39" i="31"/>
  <c r="BL39" i="31" s="1"/>
  <c r="V73" i="31"/>
  <c r="AH73" i="31"/>
  <c r="AL59" i="28"/>
  <c r="AK59" i="28"/>
  <c r="X59" i="28"/>
  <c r="G9" i="31" s="1"/>
  <c r="Q59" i="28"/>
  <c r="R73" i="31"/>
  <c r="AD73" i="31"/>
  <c r="AF43" i="28"/>
  <c r="U60" i="28"/>
  <c r="W106" i="29"/>
  <c r="AH72" i="29"/>
  <c r="AA106" i="29"/>
  <c r="AA38" i="29"/>
  <c r="BI38" i="29" s="1"/>
  <c r="Z106" i="29"/>
  <c r="R72" i="29"/>
  <c r="V72" i="29"/>
  <c r="AI38" i="29"/>
  <c r="BQ38" i="29" s="1"/>
  <c r="N72" i="29"/>
  <c r="AA60" i="28"/>
  <c r="V36" i="28"/>
  <c r="Y36" i="28" s="1"/>
  <c r="AP36" i="28"/>
  <c r="AS36" i="28" s="1"/>
  <c r="M16" i="29"/>
  <c r="N15" i="29"/>
  <c r="R38" i="29"/>
  <c r="AZ38" i="29" s="1"/>
  <c r="AD38" i="29"/>
  <c r="BL38" i="29" s="1"/>
  <c r="AP43" i="28"/>
  <c r="AS43" i="28" s="1"/>
  <c r="L9" i="31"/>
  <c r="AF36" i="28"/>
  <c r="AI36" i="28" s="1"/>
  <c r="AF45" i="28"/>
  <c r="M15" i="29"/>
  <c r="V106" i="29"/>
  <c r="AH106" i="29"/>
  <c r="AK57" i="28"/>
  <c r="AA57" i="28"/>
  <c r="Q57" i="28"/>
  <c r="AA58" i="28"/>
  <c r="Q58" i="28"/>
  <c r="AK58" i="28"/>
  <c r="J9" i="31"/>
  <c r="J9" i="29"/>
  <c r="AN43" i="28"/>
  <c r="AQ43" i="28" s="1"/>
  <c r="AH38" i="29"/>
  <c r="BP38" i="29" s="1"/>
  <c r="V38" i="29"/>
  <c r="BD38" i="29" s="1"/>
  <c r="R106" i="29"/>
  <c r="AD106" i="29"/>
  <c r="AL39" i="28"/>
  <c r="AN39" i="28" s="1"/>
  <c r="AQ39" i="28" s="1"/>
  <c r="AB39" i="28"/>
  <c r="AD39" i="28" s="1"/>
  <c r="AG39" i="28" s="1"/>
  <c r="AP39" i="28"/>
  <c r="AS39" i="28" s="1"/>
  <c r="AO39" i="28"/>
  <c r="AR39" i="28" s="1"/>
  <c r="AE39" i="28"/>
  <c r="AH39" i="28" s="1"/>
  <c r="AF39" i="28"/>
  <c r="AI39" i="28" s="1"/>
  <c r="AO60" i="28"/>
  <c r="AC60" i="28"/>
  <c r="L9" i="29"/>
  <c r="O15" i="29"/>
  <c r="AC42" i="28"/>
  <c r="AB42" i="28"/>
  <c r="AA42" i="28"/>
  <c r="AH42" i="28"/>
  <c r="AI42" i="28"/>
  <c r="AE60" i="28"/>
  <c r="AH60" i="28" s="1"/>
  <c r="AF60" i="28"/>
  <c r="AI60" i="28" s="1"/>
  <c r="AP60" i="28"/>
  <c r="V60" i="28"/>
  <c r="AD59" i="28"/>
  <c r="AG59" i="28" s="1"/>
  <c r="Y59" i="28"/>
  <c r="AA61" i="28"/>
  <c r="R60" i="28"/>
  <c r="AK60" i="28"/>
  <c r="AE61" i="28"/>
  <c r="U61" i="28"/>
  <c r="AO61" i="28"/>
  <c r="X42" i="28"/>
  <c r="Y42" i="28"/>
  <c r="R39" i="28"/>
  <c r="T39" i="28" s="1"/>
  <c r="W39" i="28" s="1"/>
  <c r="V39" i="28"/>
  <c r="Y39" i="28" s="1"/>
  <c r="U39" i="28"/>
  <c r="X39" i="28" s="1"/>
  <c r="U43" i="28"/>
  <c r="R42" i="28"/>
  <c r="Q42" i="28"/>
  <c r="S42" i="28"/>
  <c r="V43" i="28"/>
  <c r="H63" i="28"/>
  <c r="H54" i="28"/>
  <c r="G36" i="28"/>
  <c r="G45" i="28"/>
  <c r="F29" i="28"/>
  <c r="O29" i="28" s="1"/>
  <c r="F64" i="28" s="1"/>
  <c r="O23" i="28"/>
  <c r="F61" i="28" s="1"/>
  <c r="Q23" i="28"/>
  <c r="H61" i="28" s="1"/>
  <c r="H29" i="28"/>
  <c r="Q29" i="28" s="1"/>
  <c r="L10" i="28"/>
  <c r="P9" i="28"/>
  <c r="M11" i="28"/>
  <c r="Q10" i="28"/>
  <c r="N16" i="28"/>
  <c r="R15" i="28"/>
  <c r="I57" i="28" s="1"/>
  <c r="D9" i="5"/>
  <c r="F10" i="5"/>
  <c r="F12" i="5" s="1"/>
  <c r="E79" i="22"/>
  <c r="G10" i="5"/>
  <c r="G12" i="5" s="1"/>
  <c r="D11" i="5"/>
  <c r="H11" i="5" s="1"/>
  <c r="E15" i="14" s="1"/>
  <c r="E10" i="5"/>
  <c r="C7" i="5"/>
  <c r="E80" i="22"/>
  <c r="C5" i="5"/>
  <c r="D4" i="5"/>
  <c r="E5" i="5"/>
  <c r="F5" i="5"/>
  <c r="F6" i="5" s="1"/>
  <c r="G4" i="5"/>
  <c r="D5" i="5"/>
  <c r="E4" i="5"/>
  <c r="F13" i="5"/>
  <c r="F15" i="5" s="1"/>
  <c r="C10" i="5"/>
  <c r="E77" i="22"/>
  <c r="G8" i="5"/>
  <c r="I8" i="5" s="1"/>
  <c r="E13" i="14" s="1"/>
  <c r="E7" i="5"/>
  <c r="Q23" i="5"/>
  <c r="G5" i="5" s="1"/>
  <c r="S17" i="5"/>
  <c r="D10" i="5"/>
  <c r="D12" i="5" s="1"/>
  <c r="D8" i="5"/>
  <c r="G11" i="5"/>
  <c r="G7" i="5"/>
  <c r="E82" i="22"/>
  <c r="E14" i="5"/>
  <c r="G13" i="5"/>
  <c r="C14" i="5"/>
  <c r="H14" i="5" s="1"/>
  <c r="E18" i="14" s="1"/>
  <c r="E13" i="5"/>
  <c r="C13" i="5"/>
  <c r="F7" i="5"/>
  <c r="F9" i="5" s="1"/>
  <c r="E22" i="16"/>
  <c r="S23" i="5"/>
  <c r="R11" i="5"/>
  <c r="C8" i="5"/>
  <c r="H8" i="5" s="1"/>
  <c r="E12" i="14" s="1"/>
  <c r="E11" i="5"/>
  <c r="I11" i="5" s="1"/>
  <c r="E16" i="14" s="1"/>
  <c r="C4" i="5"/>
  <c r="T59" i="28" l="1"/>
  <c r="W59" i="28" s="1"/>
  <c r="H9" i="31" s="1"/>
  <c r="Y60" i="28"/>
  <c r="I15" i="31" s="1"/>
  <c r="AH61" i="28"/>
  <c r="J16" i="31" s="1"/>
  <c r="AR60" i="28"/>
  <c r="M15" i="31" s="1"/>
  <c r="AL60" i="28"/>
  <c r="AM60" i="28"/>
  <c r="AB61" i="28"/>
  <c r="S60" i="28"/>
  <c r="Q60" i="28"/>
  <c r="AC61" i="28"/>
  <c r="G11" i="29"/>
  <c r="O36" i="29" s="1"/>
  <c r="AW36" i="29" s="1"/>
  <c r="J15" i="29"/>
  <c r="X102" i="29"/>
  <c r="X104" i="29"/>
  <c r="N11" i="29"/>
  <c r="S39" i="31"/>
  <c r="BA39" i="31" s="1"/>
  <c r="AE39" i="31"/>
  <c r="BM39" i="31" s="1"/>
  <c r="S107" i="31"/>
  <c r="AE107" i="31"/>
  <c r="AI107" i="31"/>
  <c r="W107" i="31"/>
  <c r="AJ34" i="29"/>
  <c r="BR34" i="29" s="1"/>
  <c r="AJ31" i="29"/>
  <c r="AJ36" i="29"/>
  <c r="BR36" i="29" s="1"/>
  <c r="R57" i="28"/>
  <c r="T57" i="28" s="1"/>
  <c r="W57" i="28" s="1"/>
  <c r="AL57" i="28"/>
  <c r="AN57" i="28" s="1"/>
  <c r="AQ57" i="28" s="1"/>
  <c r="AB57" i="28"/>
  <c r="AD57" i="28" s="1"/>
  <c r="AG57" i="28" s="1"/>
  <c r="I11" i="29"/>
  <c r="W99" i="29" s="1"/>
  <c r="S106" i="29"/>
  <c r="AE106" i="29"/>
  <c r="H11" i="29"/>
  <c r="O68" i="29" s="1"/>
  <c r="J15" i="31"/>
  <c r="L11" i="29"/>
  <c r="AI39" i="31"/>
  <c r="BQ39" i="31" s="1"/>
  <c r="W39" i="31"/>
  <c r="BE39" i="31" s="1"/>
  <c r="O7" i="29"/>
  <c r="I15" i="29"/>
  <c r="P99" i="29" s="1"/>
  <c r="AA39" i="31"/>
  <c r="BI39" i="31" s="1"/>
  <c r="O39" i="31"/>
  <c r="AW39" i="31" s="1"/>
  <c r="J11" i="29"/>
  <c r="X34" i="29"/>
  <c r="BF34" i="29" s="1"/>
  <c r="X36" i="29"/>
  <c r="BF36" i="29" s="1"/>
  <c r="X31" i="29"/>
  <c r="O16" i="29"/>
  <c r="I7" i="29"/>
  <c r="AE45" i="28"/>
  <c r="AO45" i="28"/>
  <c r="G15" i="29"/>
  <c r="P31" i="29" s="1"/>
  <c r="I9" i="31"/>
  <c r="M11" i="29"/>
  <c r="N16" i="29"/>
  <c r="AK36" i="28"/>
  <c r="AN36" i="28" s="1"/>
  <c r="AQ36" i="28" s="1"/>
  <c r="AA36" i="28"/>
  <c r="AD36" i="28" s="1"/>
  <c r="AG36" i="28" s="1"/>
  <c r="AO36" i="28"/>
  <c r="AR36" i="28" s="1"/>
  <c r="AE36" i="28"/>
  <c r="AH36" i="28" s="1"/>
  <c r="K9" i="31"/>
  <c r="O11" i="29"/>
  <c r="S38" i="29"/>
  <c r="BA38" i="29" s="1"/>
  <c r="AE38" i="29"/>
  <c r="BM38" i="29" s="1"/>
  <c r="L15" i="31"/>
  <c r="L15" i="29"/>
  <c r="K11" i="29"/>
  <c r="L7" i="29"/>
  <c r="X68" i="29"/>
  <c r="X70" i="29"/>
  <c r="X65" i="29"/>
  <c r="AR44" i="28"/>
  <c r="AM44" i="28"/>
  <c r="AL44" i="28"/>
  <c r="AS44" i="28"/>
  <c r="AK44" i="28"/>
  <c r="AC43" i="28"/>
  <c r="AB43" i="28"/>
  <c r="AI43" i="28"/>
  <c r="AA43" i="28"/>
  <c r="AH43" i="28"/>
  <c r="V57" i="28"/>
  <c r="Y57" i="28" s="1"/>
  <c r="AF57" i="28"/>
  <c r="AI57" i="28" s="1"/>
  <c r="U57" i="28"/>
  <c r="X57" i="28" s="1"/>
  <c r="AO57" i="28"/>
  <c r="AR57" i="28" s="1"/>
  <c r="AE57" i="28"/>
  <c r="AH57" i="28" s="1"/>
  <c r="AP57" i="28"/>
  <c r="AS57" i="28" s="1"/>
  <c r="AD60" i="28"/>
  <c r="AG60" i="28" s="1"/>
  <c r="AR61" i="28"/>
  <c r="X60" i="28"/>
  <c r="AN59" i="28"/>
  <c r="AQ59" i="28" s="1"/>
  <c r="AS60" i="28"/>
  <c r="AF61" i="28"/>
  <c r="AI61" i="28" s="1"/>
  <c r="AP61" i="28"/>
  <c r="V61" i="28"/>
  <c r="Y43" i="28"/>
  <c r="X43" i="28"/>
  <c r="R43" i="28"/>
  <c r="Q43" i="28"/>
  <c r="S43" i="28"/>
  <c r="AP54" i="28"/>
  <c r="AS54" i="28" s="1"/>
  <c r="V54" i="28"/>
  <c r="Y54" i="28" s="1"/>
  <c r="AF54" i="28"/>
  <c r="AI54" i="28" s="1"/>
  <c r="Q36" i="28"/>
  <c r="T36" i="28" s="1"/>
  <c r="W36" i="28" s="1"/>
  <c r="U36" i="28"/>
  <c r="X36" i="28" s="1"/>
  <c r="H37" i="28"/>
  <c r="H46" i="28"/>
  <c r="G63" i="28"/>
  <c r="G54" i="28"/>
  <c r="N17" i="28"/>
  <c r="R16" i="28"/>
  <c r="I40" i="28" s="1"/>
  <c r="Q11" i="28"/>
  <c r="L11" i="28"/>
  <c r="P10" i="28"/>
  <c r="F22" i="16"/>
  <c r="F21" i="16"/>
  <c r="F19" i="16"/>
  <c r="D7" i="16" s="1"/>
  <c r="D11" i="16" s="1"/>
  <c r="E6" i="5"/>
  <c r="I4" i="5"/>
  <c r="G15" i="5"/>
  <c r="H10" i="5"/>
  <c r="C12" i="5"/>
  <c r="G6" i="5"/>
  <c r="H5" i="5"/>
  <c r="E9" i="14" s="1"/>
  <c r="H7" i="5"/>
  <c r="C9" i="5"/>
  <c r="I5" i="5"/>
  <c r="E10" i="14" s="1"/>
  <c r="G9" i="5"/>
  <c r="D6" i="5"/>
  <c r="F20" i="16"/>
  <c r="H13" i="5"/>
  <c r="C15" i="5"/>
  <c r="H4" i="5"/>
  <c r="C6" i="5"/>
  <c r="E15" i="5"/>
  <c r="I13" i="5"/>
  <c r="G14" i="5"/>
  <c r="I14" i="5" s="1"/>
  <c r="E19" i="14" s="1"/>
  <c r="E9" i="5"/>
  <c r="I7" i="5"/>
  <c r="E12" i="5"/>
  <c r="I10" i="5"/>
  <c r="X99" i="29" l="1"/>
  <c r="AS61" i="28"/>
  <c r="O16" i="31" s="1"/>
  <c r="P34" i="29"/>
  <c r="AX34" i="29" s="1"/>
  <c r="P36" i="29"/>
  <c r="AX36" i="29" s="1"/>
  <c r="Q61" i="28"/>
  <c r="R61" i="28"/>
  <c r="S61" i="28"/>
  <c r="O104" i="29"/>
  <c r="AK61" i="28"/>
  <c r="AM61" i="28"/>
  <c r="AL61" i="28"/>
  <c r="O99" i="29"/>
  <c r="O70" i="29"/>
  <c r="O31" i="29"/>
  <c r="AW31" i="29" s="1"/>
  <c r="O102" i="29"/>
  <c r="P104" i="29"/>
  <c r="P102" i="29"/>
  <c r="T99" i="29"/>
  <c r="O34" i="29"/>
  <c r="AW34" i="29" s="1"/>
  <c r="S99" i="29"/>
  <c r="O65" i="29"/>
  <c r="T102" i="29"/>
  <c r="T104" i="29"/>
  <c r="X32" i="31"/>
  <c r="X35" i="31"/>
  <c r="X37" i="31"/>
  <c r="BF37" i="31" s="1"/>
  <c r="O11" i="31"/>
  <c r="K11" i="31"/>
  <c r="BF31" i="29"/>
  <c r="O73" i="31"/>
  <c r="AA73" i="31"/>
  <c r="N11" i="31"/>
  <c r="G7" i="29"/>
  <c r="N36" i="29" s="1"/>
  <c r="AV36" i="29" s="1"/>
  <c r="H7" i="29"/>
  <c r="N70" i="29" s="1"/>
  <c r="M16" i="31"/>
  <c r="J11" i="31"/>
  <c r="J16" i="29"/>
  <c r="O13" i="29"/>
  <c r="R102" i="29"/>
  <c r="R99" i="29"/>
  <c r="R104" i="29"/>
  <c r="P100" i="31"/>
  <c r="P105" i="31"/>
  <c r="P103" i="31"/>
  <c r="AE73" i="31"/>
  <c r="S73" i="31"/>
  <c r="V99" i="29"/>
  <c r="V104" i="29"/>
  <c r="V102" i="29"/>
  <c r="T31" i="29"/>
  <c r="T34" i="29"/>
  <c r="BB34" i="29" s="1"/>
  <c r="T36" i="29"/>
  <c r="BB36" i="29" s="1"/>
  <c r="AL40" i="28"/>
  <c r="AN40" i="28" s="1"/>
  <c r="AQ40" i="28" s="1"/>
  <c r="AB40" i="28"/>
  <c r="AD40" i="28" s="1"/>
  <c r="AG40" i="28" s="1"/>
  <c r="AP40" i="28"/>
  <c r="AS40" i="28" s="1"/>
  <c r="AO40" i="28"/>
  <c r="AR40" i="28" s="1"/>
  <c r="AF40" i="28"/>
  <c r="AI40" i="28" s="1"/>
  <c r="AE40" i="28"/>
  <c r="AH40" i="28" s="1"/>
  <c r="L7" i="31"/>
  <c r="O15" i="31"/>
  <c r="M11" i="31"/>
  <c r="AJ65" i="29"/>
  <c r="AJ70" i="29"/>
  <c r="AJ68" i="29"/>
  <c r="BR31" i="29"/>
  <c r="I7" i="31"/>
  <c r="G16" i="29"/>
  <c r="AB31" i="29" s="1"/>
  <c r="N9" i="31"/>
  <c r="G11" i="31"/>
  <c r="L16" i="29"/>
  <c r="T100" i="31"/>
  <c r="T105" i="31"/>
  <c r="T103" i="31"/>
  <c r="J7" i="29"/>
  <c r="S36" i="29"/>
  <c r="BA36" i="29" s="1"/>
  <c r="S34" i="29"/>
  <c r="BA34" i="29" s="1"/>
  <c r="S31" i="29"/>
  <c r="T32" i="31"/>
  <c r="T37" i="31"/>
  <c r="BB37" i="31" s="1"/>
  <c r="T35" i="31"/>
  <c r="AF32" i="31"/>
  <c r="AF35" i="31"/>
  <c r="AF37" i="31"/>
  <c r="BN37" i="31" s="1"/>
  <c r="V37" i="28"/>
  <c r="Y37" i="28" s="1"/>
  <c r="AP37" i="28"/>
  <c r="AS37" i="28" s="1"/>
  <c r="AF37" i="28"/>
  <c r="AI37" i="28" s="1"/>
  <c r="W104" i="29"/>
  <c r="W102" i="29"/>
  <c r="AA54" i="28"/>
  <c r="Q54" i="28"/>
  <c r="AK54" i="28"/>
  <c r="AN54" i="28" s="1"/>
  <c r="AQ54" i="28" s="1"/>
  <c r="O7" i="31"/>
  <c r="I16" i="29"/>
  <c r="AB104" i="29" s="1"/>
  <c r="G15" i="31"/>
  <c r="L11" i="31"/>
  <c r="M7" i="29"/>
  <c r="W31" i="29"/>
  <c r="W34" i="29"/>
  <c r="BE34" i="29" s="1"/>
  <c r="W36" i="29"/>
  <c r="BE36" i="29" s="1"/>
  <c r="K15" i="31"/>
  <c r="I11" i="31"/>
  <c r="M13" i="29"/>
  <c r="S65" i="29"/>
  <c r="S68" i="29"/>
  <c r="S70" i="29"/>
  <c r="K7" i="29"/>
  <c r="N99" i="29"/>
  <c r="N102" i="29"/>
  <c r="N104" i="29"/>
  <c r="S104" i="29"/>
  <c r="S102" i="29"/>
  <c r="W68" i="29"/>
  <c r="W65" i="29"/>
  <c r="W70" i="29"/>
  <c r="L16" i="31"/>
  <c r="AP46" i="28"/>
  <c r="AF46" i="28"/>
  <c r="H11" i="31"/>
  <c r="N7" i="29"/>
  <c r="O107" i="31"/>
  <c r="AA107" i="31"/>
  <c r="AJ104" i="29"/>
  <c r="AJ102" i="29"/>
  <c r="AX31" i="29"/>
  <c r="AM45" i="28"/>
  <c r="AL45" i="28"/>
  <c r="AK45" i="28"/>
  <c r="AR45" i="28"/>
  <c r="AS45" i="28"/>
  <c r="AN44" i="28"/>
  <c r="AQ44" i="28" s="1"/>
  <c r="AD41" i="28"/>
  <c r="AG41" i="28" s="1"/>
  <c r="T41" i="28"/>
  <c r="W41" i="28" s="1"/>
  <c r="T60" i="28"/>
  <c r="W60" i="28" s="1"/>
  <c r="AN60" i="28"/>
  <c r="AQ60" i="28" s="1"/>
  <c r="AD61" i="28"/>
  <c r="AG61" i="28" s="1"/>
  <c r="U62" i="28"/>
  <c r="AE62" i="28"/>
  <c r="AO62" i="28"/>
  <c r="Y61" i="28"/>
  <c r="X61" i="28"/>
  <c r="R40" i="28"/>
  <c r="T40" i="28" s="1"/>
  <c r="W40" i="28" s="1"/>
  <c r="V40" i="28"/>
  <c r="Y40" i="28" s="1"/>
  <c r="U40" i="28"/>
  <c r="X40" i="28" s="1"/>
  <c r="V44" i="28"/>
  <c r="U44" i="28"/>
  <c r="AD54" i="28"/>
  <c r="AG54" i="28" s="1"/>
  <c r="U54" i="28"/>
  <c r="X54" i="28" s="1"/>
  <c r="AO54" i="28"/>
  <c r="AR54" i="28" s="1"/>
  <c r="AE54" i="28"/>
  <c r="AH54" i="28" s="1"/>
  <c r="H64" i="28"/>
  <c r="H55" i="28"/>
  <c r="G37" i="28"/>
  <c r="G46" i="28"/>
  <c r="R17" i="28"/>
  <c r="I58" i="28" s="1"/>
  <c r="P11" i="28"/>
  <c r="D16" i="25"/>
  <c r="D6" i="25"/>
  <c r="G16" i="14"/>
  <c r="E26" i="14" s="1"/>
  <c r="I12" i="5"/>
  <c r="G19" i="14"/>
  <c r="F26" i="14" s="1"/>
  <c r="D16" i="26"/>
  <c r="D6" i="26"/>
  <c r="I15" i="5"/>
  <c r="H9" i="5"/>
  <c r="G12" i="14"/>
  <c r="D25" i="14" s="1"/>
  <c r="C16" i="24"/>
  <c r="C6" i="24"/>
  <c r="H12" i="5"/>
  <c r="G15" i="14"/>
  <c r="E25" i="14" s="1"/>
  <c r="C6" i="25"/>
  <c r="C16" i="25"/>
  <c r="G10" i="14"/>
  <c r="I6" i="5"/>
  <c r="D16" i="18"/>
  <c r="D6" i="18"/>
  <c r="G13" i="14"/>
  <c r="D26" i="14" s="1"/>
  <c r="D16" i="24"/>
  <c r="D6" i="24"/>
  <c r="I9" i="5"/>
  <c r="H15" i="5"/>
  <c r="G18" i="14"/>
  <c r="F25" i="14" s="1"/>
  <c r="C16" i="26"/>
  <c r="C6" i="26"/>
  <c r="C26" i="14"/>
  <c r="G9" i="14"/>
  <c r="C25" i="14" s="1"/>
  <c r="H6" i="5"/>
  <c r="C16" i="18"/>
  <c r="C6" i="18"/>
  <c r="W108" i="29" l="1"/>
  <c r="W109" i="29" s="1"/>
  <c r="O44" i="29"/>
  <c r="O45" i="29" s="1"/>
  <c r="O40" i="29"/>
  <c r="O41" i="29" s="1"/>
  <c r="O48" i="29"/>
  <c r="O49" i="29" s="1"/>
  <c r="N31" i="29"/>
  <c r="AV31" i="29" s="1"/>
  <c r="AB36" i="29"/>
  <c r="BJ36" i="29" s="1"/>
  <c r="AB34" i="29"/>
  <c r="BJ34" i="29" s="1"/>
  <c r="O112" i="29"/>
  <c r="O113" i="29" s="1"/>
  <c r="T61" i="28"/>
  <c r="W61" i="28" s="1"/>
  <c r="H16" i="31" s="1"/>
  <c r="O116" i="29"/>
  <c r="O117" i="29" s="1"/>
  <c r="N34" i="29"/>
  <c r="AV34" i="29" s="1"/>
  <c r="AH62" i="28"/>
  <c r="J13" i="31" s="1"/>
  <c r="T39" i="31" s="1"/>
  <c r="BB39" i="31" s="1"/>
  <c r="AC62" i="28"/>
  <c r="AB62" i="28"/>
  <c r="AA62" i="28"/>
  <c r="O108" i="29"/>
  <c r="O109" i="29" s="1"/>
  <c r="W116" i="29"/>
  <c r="W117" i="29" s="1"/>
  <c r="W112" i="29"/>
  <c r="W113" i="29" s="1"/>
  <c r="S108" i="29"/>
  <c r="S109" i="29" s="1"/>
  <c r="S116" i="29"/>
  <c r="S117" i="29" s="1"/>
  <c r="S112" i="29"/>
  <c r="S113" i="29" s="1"/>
  <c r="N68" i="29"/>
  <c r="N65" i="29"/>
  <c r="W44" i="29"/>
  <c r="W45" i="29" s="1"/>
  <c r="BE31" i="29"/>
  <c r="W40" i="29"/>
  <c r="W41" i="29" s="1"/>
  <c r="W48" i="29"/>
  <c r="W49" i="29" s="1"/>
  <c r="M12" i="29"/>
  <c r="AF36" i="29"/>
  <c r="BN36" i="29" s="1"/>
  <c r="AF31" i="29"/>
  <c r="AF34" i="29"/>
  <c r="BN34" i="29" s="1"/>
  <c r="N7" i="31"/>
  <c r="H12" i="29"/>
  <c r="AA68" i="29" s="1"/>
  <c r="K16" i="31"/>
  <c r="N15" i="31"/>
  <c r="H9" i="29"/>
  <c r="AA72" i="29" s="1"/>
  <c r="AN45" i="28"/>
  <c r="AQ45" i="28" s="1"/>
  <c r="AF105" i="31"/>
  <c r="AF100" i="31"/>
  <c r="AF103" i="31"/>
  <c r="AJ38" i="29"/>
  <c r="X38" i="29"/>
  <c r="R36" i="29"/>
  <c r="AZ36" i="29" s="1"/>
  <c r="R31" i="29"/>
  <c r="R34" i="29"/>
  <c r="AZ34" i="29" s="1"/>
  <c r="L12" i="29"/>
  <c r="BB32" i="31"/>
  <c r="W32" i="31"/>
  <c r="W37" i="31"/>
  <c r="BE37" i="31" s="1"/>
  <c r="W35" i="31"/>
  <c r="N13" i="29"/>
  <c r="AJ99" i="29"/>
  <c r="O66" i="31"/>
  <c r="O71" i="31"/>
  <c r="O69" i="31"/>
  <c r="O103" i="31"/>
  <c r="O105" i="31"/>
  <c r="O100" i="31"/>
  <c r="V34" i="29"/>
  <c r="BD34" i="29" s="1"/>
  <c r="V36" i="29"/>
  <c r="BD36" i="29" s="1"/>
  <c r="V31" i="29"/>
  <c r="V100" i="31"/>
  <c r="V105" i="31"/>
  <c r="V103" i="31"/>
  <c r="O8" i="29"/>
  <c r="BA31" i="29"/>
  <c r="S48" i="29"/>
  <c r="S49" i="29" s="1"/>
  <c r="S44" i="29"/>
  <c r="S45" i="29" s="1"/>
  <c r="S40" i="29"/>
  <c r="S41" i="29" s="1"/>
  <c r="O12" i="29"/>
  <c r="V112" i="29"/>
  <c r="V113" i="29" s="1"/>
  <c r="V108" i="29"/>
  <c r="V109" i="29" s="1"/>
  <c r="V116" i="29"/>
  <c r="V117" i="29" s="1"/>
  <c r="AI73" i="31"/>
  <c r="W73" i="31"/>
  <c r="J7" i="31"/>
  <c r="M7" i="31"/>
  <c r="G16" i="31"/>
  <c r="O19" i="29"/>
  <c r="AB99" i="29"/>
  <c r="V70" i="29"/>
  <c r="V65" i="29"/>
  <c r="V68" i="29"/>
  <c r="R65" i="29"/>
  <c r="R70" i="29"/>
  <c r="R68" i="29"/>
  <c r="I8" i="29"/>
  <c r="X105" i="31"/>
  <c r="X103" i="31"/>
  <c r="X100" i="31"/>
  <c r="K12" i="29"/>
  <c r="S37" i="31"/>
  <c r="BA37" i="31" s="1"/>
  <c r="S35" i="31"/>
  <c r="S32" i="31"/>
  <c r="W69" i="31"/>
  <c r="W71" i="31"/>
  <c r="W66" i="31"/>
  <c r="BF32" i="31"/>
  <c r="K9" i="29"/>
  <c r="AB58" i="28"/>
  <c r="AD58" i="28" s="1"/>
  <c r="AG58" i="28" s="1"/>
  <c r="R58" i="28"/>
  <c r="T58" i="28" s="1"/>
  <c r="W58" i="28" s="1"/>
  <c r="AL58" i="28"/>
  <c r="AN58" i="28" s="1"/>
  <c r="AQ58" i="28" s="1"/>
  <c r="G7" i="31"/>
  <c r="N32" i="31" s="1"/>
  <c r="I16" i="31"/>
  <c r="M19" i="29"/>
  <c r="AB102" i="29"/>
  <c r="AJ100" i="31"/>
  <c r="AJ105" i="31"/>
  <c r="AJ103" i="31"/>
  <c r="T69" i="31"/>
  <c r="T71" i="31"/>
  <c r="T66" i="31"/>
  <c r="S103" i="31"/>
  <c r="S100" i="31"/>
  <c r="S105" i="31"/>
  <c r="N12" i="29"/>
  <c r="K7" i="31"/>
  <c r="AF99" i="29"/>
  <c r="AF104" i="29"/>
  <c r="AF102" i="29"/>
  <c r="N105" i="31"/>
  <c r="N100" i="31"/>
  <c r="N103" i="31"/>
  <c r="R105" i="31"/>
  <c r="R100" i="31"/>
  <c r="R103" i="31"/>
  <c r="R108" i="29"/>
  <c r="R109" i="29" s="1"/>
  <c r="R112" i="29"/>
  <c r="R113" i="29" s="1"/>
  <c r="R116" i="29"/>
  <c r="R117" i="29" s="1"/>
  <c r="AJ32" i="31"/>
  <c r="AJ35" i="31"/>
  <c r="S69" i="31"/>
  <c r="S71" i="31"/>
  <c r="S66" i="31"/>
  <c r="L8" i="29"/>
  <c r="G12" i="29"/>
  <c r="AA34" i="29" s="1"/>
  <c r="BI34" i="29" s="1"/>
  <c r="H15" i="31"/>
  <c r="P35" i="31"/>
  <c r="P37" i="31"/>
  <c r="AX37" i="31" s="1"/>
  <c r="P32" i="31"/>
  <c r="BN32" i="31"/>
  <c r="AO46" i="28"/>
  <c r="AE46" i="28"/>
  <c r="AK37" i="28"/>
  <c r="AN37" i="28" s="1"/>
  <c r="AQ37" i="28" s="1"/>
  <c r="AA37" i="28"/>
  <c r="AD37" i="28" s="1"/>
  <c r="AG37" i="28" s="1"/>
  <c r="AE37" i="28"/>
  <c r="AH37" i="28" s="1"/>
  <c r="AO37" i="28"/>
  <c r="AR37" i="28" s="1"/>
  <c r="I12" i="29"/>
  <c r="AE99" i="29" s="1"/>
  <c r="N108" i="29"/>
  <c r="N109" i="29" s="1"/>
  <c r="N116" i="29"/>
  <c r="N117" i="29" s="1"/>
  <c r="N112" i="29"/>
  <c r="N113" i="29" s="1"/>
  <c r="O32" i="31"/>
  <c r="O37" i="31"/>
  <c r="AW37" i="31" s="1"/>
  <c r="O35" i="31"/>
  <c r="J12" i="29"/>
  <c r="BB31" i="29"/>
  <c r="AJ106" i="29"/>
  <c r="X106" i="29"/>
  <c r="W105" i="31"/>
  <c r="W100" i="31"/>
  <c r="W103" i="31"/>
  <c r="N48" i="29"/>
  <c r="N49" i="29" s="1"/>
  <c r="AW50" i="29"/>
  <c r="AW46" i="29"/>
  <c r="AW42" i="29"/>
  <c r="BJ31" i="29"/>
  <c r="AI72" i="29"/>
  <c r="N40" i="29"/>
  <c r="N41" i="29" s="1"/>
  <c r="AM46" i="28"/>
  <c r="AL46" i="28"/>
  <c r="AS46" i="28"/>
  <c r="AK46" i="28"/>
  <c r="AR46" i="28"/>
  <c r="AD42" i="28"/>
  <c r="AG42" i="28" s="1"/>
  <c r="T42" i="28"/>
  <c r="W42" i="28" s="1"/>
  <c r="AB44" i="28"/>
  <c r="AI44" i="28"/>
  <c r="AA44" i="28"/>
  <c r="AC44" i="28"/>
  <c r="AH44" i="28"/>
  <c r="AO58" i="28"/>
  <c r="AR58" i="28" s="1"/>
  <c r="AE58" i="28"/>
  <c r="AH58" i="28" s="1"/>
  <c r="U58" i="28"/>
  <c r="X58" i="28" s="1"/>
  <c r="AP58" i="28"/>
  <c r="AS58" i="28" s="1"/>
  <c r="V58" i="28"/>
  <c r="Y58" i="28" s="1"/>
  <c r="AF58" i="28"/>
  <c r="AI58" i="28" s="1"/>
  <c r="X62" i="28"/>
  <c r="U63" i="28"/>
  <c r="AE63" i="28"/>
  <c r="AO63" i="28"/>
  <c r="V62" i="28"/>
  <c r="AF62" i="28"/>
  <c r="AI62" i="28" s="1"/>
  <c r="AP62" i="28"/>
  <c r="AN61" i="28"/>
  <c r="AQ61" i="28" s="1"/>
  <c r="X44" i="28"/>
  <c r="Y44" i="28"/>
  <c r="Q44" i="28"/>
  <c r="R44" i="28"/>
  <c r="S44" i="28"/>
  <c r="U45" i="28"/>
  <c r="V45" i="28"/>
  <c r="AP55" i="28"/>
  <c r="AS55" i="28" s="1"/>
  <c r="AF55" i="28"/>
  <c r="AI55" i="28" s="1"/>
  <c r="V55" i="28"/>
  <c r="Y55" i="28" s="1"/>
  <c r="T54" i="28"/>
  <c r="W54" i="28" s="1"/>
  <c r="Q37" i="28"/>
  <c r="T37" i="28" s="1"/>
  <c r="W37" i="28" s="1"/>
  <c r="U37" i="28"/>
  <c r="X37" i="28" s="1"/>
  <c r="G55" i="28"/>
  <c r="G64" i="28"/>
  <c r="C17" i="18"/>
  <c r="E17" i="18" s="1"/>
  <c r="C7" i="18"/>
  <c r="E7" i="18" s="1"/>
  <c r="H7" i="18" s="1"/>
  <c r="D17" i="26"/>
  <c r="F17" i="26" s="1"/>
  <c r="D7" i="26"/>
  <c r="F7" i="26" s="1"/>
  <c r="E16" i="18"/>
  <c r="C21" i="18"/>
  <c r="E16" i="26"/>
  <c r="F6" i="24"/>
  <c r="F16" i="18"/>
  <c r="D21" i="18"/>
  <c r="E6" i="25"/>
  <c r="E16" i="24"/>
  <c r="F6" i="26"/>
  <c r="D17" i="25"/>
  <c r="F17" i="25" s="1"/>
  <c r="D7" i="25"/>
  <c r="F7" i="25" s="1"/>
  <c r="E6" i="18"/>
  <c r="C11" i="18"/>
  <c r="C17" i="26"/>
  <c r="E17" i="26" s="1"/>
  <c r="C7" i="26"/>
  <c r="E7" i="26" s="1"/>
  <c r="H7" i="26" s="1"/>
  <c r="F16" i="24"/>
  <c r="C17" i="25"/>
  <c r="E17" i="25" s="1"/>
  <c r="C7" i="25"/>
  <c r="E7" i="25" s="1"/>
  <c r="H7" i="25" s="1"/>
  <c r="C17" i="24"/>
  <c r="E17" i="24" s="1"/>
  <c r="C7" i="24"/>
  <c r="E7" i="24" s="1"/>
  <c r="H7" i="24" s="1"/>
  <c r="D21" i="26"/>
  <c r="F16" i="26"/>
  <c r="F6" i="25"/>
  <c r="D17" i="18"/>
  <c r="F17" i="18" s="1"/>
  <c r="I17" i="18" s="1"/>
  <c r="D7" i="18"/>
  <c r="F7" i="18" s="1"/>
  <c r="I7" i="18" s="1"/>
  <c r="D17" i="24"/>
  <c r="F17" i="24" s="1"/>
  <c r="I17" i="24" s="1"/>
  <c r="D7" i="24"/>
  <c r="F7" i="24" s="1"/>
  <c r="I7" i="24" s="1"/>
  <c r="D21" i="25"/>
  <c r="F16" i="25"/>
  <c r="E6" i="26"/>
  <c r="F6" i="18"/>
  <c r="D11" i="18"/>
  <c r="C21" i="25"/>
  <c r="E16" i="25"/>
  <c r="E6" i="24"/>
  <c r="C11" i="24"/>
  <c r="N44" i="29" l="1"/>
  <c r="N45" i="29" s="1"/>
  <c r="AE72" i="29"/>
  <c r="O72" i="29"/>
  <c r="S72" i="29"/>
  <c r="W72" i="29"/>
  <c r="N82" i="29"/>
  <c r="N83" i="29" s="1"/>
  <c r="AS62" i="28"/>
  <c r="Y45" i="28"/>
  <c r="I19" i="29" s="1"/>
  <c r="Y62" i="28"/>
  <c r="I13" i="31" s="1"/>
  <c r="AA104" i="29"/>
  <c r="AD62" i="28"/>
  <c r="AG62" i="28" s="1"/>
  <c r="AA102" i="29"/>
  <c r="X45" i="28"/>
  <c r="AB63" i="28"/>
  <c r="AC63" i="28"/>
  <c r="AA63" i="28"/>
  <c r="AR62" i="28"/>
  <c r="M13" i="31" s="1"/>
  <c r="AM62" i="28"/>
  <c r="AL62" i="28"/>
  <c r="AK62" i="28"/>
  <c r="S62" i="28"/>
  <c r="R62" i="28"/>
  <c r="Q62" i="28"/>
  <c r="N74" i="29"/>
  <c r="N75" i="29" s="1"/>
  <c r="N78" i="29"/>
  <c r="N79" i="29" s="1"/>
  <c r="AJ116" i="29"/>
  <c r="AJ117" i="29" s="1"/>
  <c r="AJ112" i="29"/>
  <c r="AJ113" i="29" s="1"/>
  <c r="AA36" i="29"/>
  <c r="BI36" i="29" s="1"/>
  <c r="AJ108" i="29"/>
  <c r="AJ109" i="29" s="1"/>
  <c r="AA65" i="29"/>
  <c r="AA70" i="29"/>
  <c r="AI99" i="29"/>
  <c r="AA99" i="29"/>
  <c r="AA31" i="29"/>
  <c r="AA40" i="29" s="1"/>
  <c r="AA41" i="29" s="1"/>
  <c r="J8" i="29"/>
  <c r="Q55" i="28"/>
  <c r="T55" i="28" s="1"/>
  <c r="W55" i="28" s="1"/>
  <c r="AK55" i="28"/>
  <c r="AA55" i="28"/>
  <c r="I8" i="31"/>
  <c r="H12" i="31"/>
  <c r="L13" i="29"/>
  <c r="O20" i="29"/>
  <c r="M8" i="29"/>
  <c r="AX32" i="31"/>
  <c r="AB69" i="31"/>
  <c r="AB71" i="31"/>
  <c r="AB66" i="31"/>
  <c r="N35" i="31"/>
  <c r="N37" i="31"/>
  <c r="AV37" i="31" s="1"/>
  <c r="L8" i="31"/>
  <c r="AB37" i="31"/>
  <c r="BJ37" i="31" s="1"/>
  <c r="AB32" i="31"/>
  <c r="AB35" i="31"/>
  <c r="I12" i="31"/>
  <c r="K8" i="29"/>
  <c r="S83" i="31"/>
  <c r="S84" i="31" s="1"/>
  <c r="S79" i="31"/>
  <c r="S80" i="31" s="1"/>
  <c r="S75" i="31"/>
  <c r="S76" i="31" s="1"/>
  <c r="S109" i="31"/>
  <c r="S110" i="31" s="1"/>
  <c r="S117" i="31"/>
  <c r="S118" i="31" s="1"/>
  <c r="S113" i="31"/>
  <c r="S114" i="31" s="1"/>
  <c r="V113" i="31"/>
  <c r="V114" i="31" s="1"/>
  <c r="V109" i="31"/>
  <c r="V110" i="31" s="1"/>
  <c r="V117" i="31"/>
  <c r="V118" i="31" s="1"/>
  <c r="O109" i="31"/>
  <c r="O110" i="31" s="1"/>
  <c r="O117" i="31"/>
  <c r="O118" i="31" s="1"/>
  <c r="O113" i="31"/>
  <c r="O114" i="31" s="1"/>
  <c r="T49" i="31"/>
  <c r="T50" i="31" s="1"/>
  <c r="X66" i="31"/>
  <c r="X71" i="31"/>
  <c r="V71" i="31"/>
  <c r="V69" i="31"/>
  <c r="V66" i="31"/>
  <c r="I13" i="29"/>
  <c r="R82" i="29"/>
  <c r="R83" i="29" s="1"/>
  <c r="R74" i="29"/>
  <c r="R75" i="29" s="1"/>
  <c r="R78" i="29"/>
  <c r="R79" i="29" s="1"/>
  <c r="O12" i="31"/>
  <c r="H15" i="29"/>
  <c r="P65" i="29" s="1"/>
  <c r="X108" i="29"/>
  <c r="X109" i="29" s="1"/>
  <c r="X116" i="29"/>
  <c r="X117" i="29" s="1"/>
  <c r="X112" i="29"/>
  <c r="X113" i="29" s="1"/>
  <c r="AW32" i="31"/>
  <c r="O41" i="31"/>
  <c r="O42" i="31" s="1"/>
  <c r="O45" i="31"/>
  <c r="O46" i="31" s="1"/>
  <c r="O49" i="31"/>
  <c r="O50" i="31" s="1"/>
  <c r="N8" i="29"/>
  <c r="R113" i="31"/>
  <c r="R114" i="31" s="1"/>
  <c r="R117" i="31"/>
  <c r="R118" i="31" s="1"/>
  <c r="R109" i="31"/>
  <c r="R110" i="31" s="1"/>
  <c r="W79" i="31"/>
  <c r="W80" i="31" s="1"/>
  <c r="W83" i="31"/>
  <c r="W84" i="31" s="1"/>
  <c r="W75" i="31"/>
  <c r="W76" i="31" s="1"/>
  <c r="Z102" i="29"/>
  <c r="Z99" i="29"/>
  <c r="Z104" i="29"/>
  <c r="V32" i="31"/>
  <c r="V35" i="31"/>
  <c r="V37" i="31"/>
  <c r="BD37" i="31" s="1"/>
  <c r="V40" i="29"/>
  <c r="V41" i="29" s="1"/>
  <c r="V44" i="29"/>
  <c r="V45" i="29" s="1"/>
  <c r="BD31" i="29"/>
  <c r="V48" i="29"/>
  <c r="V49" i="29" s="1"/>
  <c r="T45" i="31"/>
  <c r="T46" i="31" s="1"/>
  <c r="K12" i="31"/>
  <c r="AE36" i="29"/>
  <c r="BM36" i="29" s="1"/>
  <c r="AE34" i="29"/>
  <c r="BM34" i="29" s="1"/>
  <c r="AE31" i="29"/>
  <c r="G19" i="29"/>
  <c r="Q34" i="29" s="1"/>
  <c r="AY34" i="29" s="1"/>
  <c r="G12" i="31"/>
  <c r="K15" i="29"/>
  <c r="AD99" i="29"/>
  <c r="AD102" i="29"/>
  <c r="AD104" i="29"/>
  <c r="Y36" i="29"/>
  <c r="BG36" i="29" s="1"/>
  <c r="Y34" i="29"/>
  <c r="BG34" i="29" s="1"/>
  <c r="Y31" i="29"/>
  <c r="AE68" i="29"/>
  <c r="AE70" i="29"/>
  <c r="AE65" i="29"/>
  <c r="T41" i="31"/>
  <c r="T42" i="31" s="1"/>
  <c r="AE104" i="29"/>
  <c r="AE102" i="29"/>
  <c r="AF69" i="31"/>
  <c r="AF66" i="31"/>
  <c r="AF71" i="31"/>
  <c r="AI68" i="29"/>
  <c r="AI65" i="29"/>
  <c r="AI70" i="29"/>
  <c r="G8" i="29"/>
  <c r="N16" i="31"/>
  <c r="G13" i="31"/>
  <c r="J12" i="31"/>
  <c r="J13" i="29"/>
  <c r="P71" i="31"/>
  <c r="P66" i="31"/>
  <c r="P69" i="31"/>
  <c r="Y102" i="29"/>
  <c r="Y104" i="29"/>
  <c r="R32" i="31"/>
  <c r="R37" i="31"/>
  <c r="AZ37" i="31" s="1"/>
  <c r="R35" i="31"/>
  <c r="AI104" i="29"/>
  <c r="AI102" i="29"/>
  <c r="BA42" i="29"/>
  <c r="BA46" i="29"/>
  <c r="BA50" i="29"/>
  <c r="BB47" i="31"/>
  <c r="BB51" i="31"/>
  <c r="BB43" i="31"/>
  <c r="BN31" i="29"/>
  <c r="BE32" i="31"/>
  <c r="W41" i="31"/>
  <c r="W42" i="31" s="1"/>
  <c r="W45" i="31"/>
  <c r="W46" i="31" s="1"/>
  <c r="W49" i="31"/>
  <c r="W50" i="31" s="1"/>
  <c r="O8" i="31"/>
  <c r="G13" i="29"/>
  <c r="P38" i="29" s="1"/>
  <c r="H8" i="29"/>
  <c r="Z65" i="29" s="1"/>
  <c r="O13" i="31"/>
  <c r="M12" i="31"/>
  <c r="M20" i="29"/>
  <c r="W117" i="31"/>
  <c r="W118" i="31" s="1"/>
  <c r="W109" i="31"/>
  <c r="W110" i="31" s="1"/>
  <c r="W113" i="31"/>
  <c r="W114" i="31" s="1"/>
  <c r="BR32" i="31"/>
  <c r="N113" i="31"/>
  <c r="N114" i="31" s="1"/>
  <c r="N117" i="31"/>
  <c r="N118" i="31" s="1"/>
  <c r="N109" i="31"/>
  <c r="N110" i="31" s="1"/>
  <c r="R71" i="31"/>
  <c r="R69" i="31"/>
  <c r="R66" i="31"/>
  <c r="AB103" i="31"/>
  <c r="AB100" i="31"/>
  <c r="AB105" i="31"/>
  <c r="BA32" i="31"/>
  <c r="S49" i="31"/>
  <c r="S50" i="31" s="1"/>
  <c r="S41" i="31"/>
  <c r="S42" i="31" s="1"/>
  <c r="S45" i="31"/>
  <c r="S46" i="31" s="1"/>
  <c r="AH99" i="29"/>
  <c r="AH102" i="29"/>
  <c r="AH104" i="29"/>
  <c r="BF38" i="29"/>
  <c r="X40" i="29"/>
  <c r="X41" i="29" s="1"/>
  <c r="X44" i="29"/>
  <c r="X45" i="29" s="1"/>
  <c r="X48" i="29"/>
  <c r="X49" i="29" s="1"/>
  <c r="N19" i="29"/>
  <c r="BE46" i="29"/>
  <c r="BE50" i="29"/>
  <c r="BE42" i="29"/>
  <c r="L12" i="31"/>
  <c r="H7" i="31"/>
  <c r="L13" i="31"/>
  <c r="K13" i="31"/>
  <c r="N12" i="31"/>
  <c r="V74" i="29"/>
  <c r="V75" i="29" s="1"/>
  <c r="V78" i="29"/>
  <c r="V79" i="29" s="1"/>
  <c r="V82" i="29"/>
  <c r="V83" i="29" s="1"/>
  <c r="O83" i="31"/>
  <c r="O84" i="31" s="1"/>
  <c r="O79" i="31"/>
  <c r="O80" i="31" s="1"/>
  <c r="O75" i="31"/>
  <c r="O76" i="31" s="1"/>
  <c r="AZ31" i="29"/>
  <c r="R48" i="29"/>
  <c r="R49" i="29" s="1"/>
  <c r="R44" i="29"/>
  <c r="R45" i="29" s="1"/>
  <c r="R40" i="29"/>
  <c r="R41" i="29" s="1"/>
  <c r="BR38" i="29"/>
  <c r="AJ40" i="29"/>
  <c r="AJ41" i="29" s="1"/>
  <c r="AJ44" i="29"/>
  <c r="AJ45" i="29" s="1"/>
  <c r="AJ48" i="29"/>
  <c r="AJ49" i="29" s="1"/>
  <c r="AI36" i="29"/>
  <c r="BQ36" i="29" s="1"/>
  <c r="AI34" i="29"/>
  <c r="BQ34" i="29" s="1"/>
  <c r="AI31" i="29"/>
  <c r="AB106" i="29"/>
  <c r="P106" i="29"/>
  <c r="O82" i="29"/>
  <c r="O83" i="29" s="1"/>
  <c r="O78" i="29"/>
  <c r="O79" i="29" s="1"/>
  <c r="S82" i="29"/>
  <c r="S83" i="29" s="1"/>
  <c r="S78" i="29"/>
  <c r="S79" i="29" s="1"/>
  <c r="W78" i="29"/>
  <c r="W79" i="29" s="1"/>
  <c r="W82" i="29"/>
  <c r="W83" i="29" s="1"/>
  <c r="S74" i="29"/>
  <c r="S75" i="29" s="1"/>
  <c r="W74" i="29"/>
  <c r="W75" i="29" s="1"/>
  <c r="O74" i="29"/>
  <c r="O75" i="29" s="1"/>
  <c r="AW47" i="29"/>
  <c r="O47" i="29" s="1"/>
  <c r="O46" i="29"/>
  <c r="AW51" i="29"/>
  <c r="O51" i="29" s="1"/>
  <c r="O50" i="29"/>
  <c r="AV46" i="29"/>
  <c r="AV50" i="29"/>
  <c r="AV42" i="29"/>
  <c r="AA48" i="29"/>
  <c r="AA49" i="29" s="1"/>
  <c r="AA44" i="29"/>
  <c r="AA45" i="29" s="1"/>
  <c r="AW43" i="29"/>
  <c r="O43" i="29" s="1"/>
  <c r="O42" i="29"/>
  <c r="Z31" i="29"/>
  <c r="Z36" i="29"/>
  <c r="BH36" i="29" s="1"/>
  <c r="Z34" i="29"/>
  <c r="BH34" i="29" s="1"/>
  <c r="AN46" i="28"/>
  <c r="AQ46" i="28" s="1"/>
  <c r="AD43" i="28"/>
  <c r="AG43" i="28" s="1"/>
  <c r="T43" i="28"/>
  <c r="W43" i="28" s="1"/>
  <c r="AC45" i="28"/>
  <c r="AB45" i="28"/>
  <c r="AH45" i="28"/>
  <c r="AA45" i="28"/>
  <c r="AI45" i="28"/>
  <c r="V63" i="28"/>
  <c r="AF63" i="28"/>
  <c r="AI63" i="28" s="1"/>
  <c r="AP63" i="28"/>
  <c r="AH63" i="28"/>
  <c r="U64" i="28"/>
  <c r="AO64" i="28"/>
  <c r="AE64" i="28"/>
  <c r="Q45" i="28"/>
  <c r="S45" i="28"/>
  <c r="R45" i="28"/>
  <c r="V46" i="28"/>
  <c r="U46" i="28"/>
  <c r="AD55" i="28"/>
  <c r="AG55" i="28" s="1"/>
  <c r="AN55" i="28"/>
  <c r="AQ55" i="28" s="1"/>
  <c r="U55" i="28"/>
  <c r="X55" i="28" s="1"/>
  <c r="AE55" i="28"/>
  <c r="AH55" i="28" s="1"/>
  <c r="AO55" i="28"/>
  <c r="AR55" i="28" s="1"/>
  <c r="F21" i="25"/>
  <c r="I16" i="25"/>
  <c r="I21" i="25" s="1"/>
  <c r="J14" i="12" s="1"/>
  <c r="F21" i="26"/>
  <c r="I16" i="26"/>
  <c r="I7" i="25"/>
  <c r="H16" i="24"/>
  <c r="G16" i="24"/>
  <c r="E21" i="24"/>
  <c r="H16" i="26"/>
  <c r="G16" i="26"/>
  <c r="E21" i="26"/>
  <c r="I7" i="26"/>
  <c r="E11" i="24"/>
  <c r="H6" i="24"/>
  <c r="H11" i="24" s="1"/>
  <c r="I11" i="12" s="1"/>
  <c r="F11" i="18"/>
  <c r="I6" i="18"/>
  <c r="I11" i="18" s="1"/>
  <c r="J9" i="12" s="1"/>
  <c r="H17" i="25"/>
  <c r="G17" i="25"/>
  <c r="G7" i="25" s="1"/>
  <c r="H17" i="26"/>
  <c r="G17" i="26"/>
  <c r="G7" i="26" s="1"/>
  <c r="I17" i="25"/>
  <c r="C21" i="24"/>
  <c r="F21" i="18"/>
  <c r="I16" i="18"/>
  <c r="I21" i="18" s="1"/>
  <c r="J10" i="12" s="1"/>
  <c r="C21" i="26"/>
  <c r="I17" i="26"/>
  <c r="H16" i="25"/>
  <c r="H21" i="25" s="1"/>
  <c r="I14" i="12" s="1"/>
  <c r="E21" i="25"/>
  <c r="G16" i="25"/>
  <c r="H6" i="26"/>
  <c r="H11" i="26" s="1"/>
  <c r="I15" i="12" s="1"/>
  <c r="E11" i="26"/>
  <c r="F11" i="25"/>
  <c r="I6" i="25"/>
  <c r="I11" i="25" s="1"/>
  <c r="J13" i="12" s="1"/>
  <c r="F21" i="24"/>
  <c r="I16" i="24"/>
  <c r="I21" i="24" s="1"/>
  <c r="J12" i="12" s="1"/>
  <c r="F11" i="26"/>
  <c r="I6" i="26"/>
  <c r="C11" i="25"/>
  <c r="D11" i="24"/>
  <c r="C11" i="26"/>
  <c r="D11" i="25"/>
  <c r="H17" i="24"/>
  <c r="G17" i="24"/>
  <c r="G7" i="24" s="1"/>
  <c r="D21" i="24"/>
  <c r="E11" i="18"/>
  <c r="H6" i="18"/>
  <c r="H11" i="18" s="1"/>
  <c r="I9" i="12" s="1"/>
  <c r="D11" i="26"/>
  <c r="H6" i="25"/>
  <c r="H11" i="25" s="1"/>
  <c r="I13" i="12" s="1"/>
  <c r="E11" i="25"/>
  <c r="F11" i="24"/>
  <c r="I6" i="24"/>
  <c r="I11" i="24" s="1"/>
  <c r="J11" i="12" s="1"/>
  <c r="E21" i="18"/>
  <c r="H16" i="18"/>
  <c r="G16" i="18"/>
  <c r="H17" i="18"/>
  <c r="G17" i="18"/>
  <c r="G7" i="18" s="1"/>
  <c r="AE112" i="29" l="1"/>
  <c r="AE113" i="29" s="1"/>
  <c r="BI31" i="29"/>
  <c r="Z70" i="29"/>
  <c r="Q36" i="29"/>
  <c r="AY36" i="29" s="1"/>
  <c r="Y99" i="29"/>
  <c r="Q104" i="29"/>
  <c r="Q31" i="29"/>
  <c r="AN62" i="28"/>
  <c r="AQ62" i="28" s="1"/>
  <c r="N13" i="31" s="1"/>
  <c r="P70" i="29"/>
  <c r="P68" i="29"/>
  <c r="X46" i="28"/>
  <c r="AE82" i="29"/>
  <c r="AE83" i="29" s="1"/>
  <c r="AA116" i="29"/>
  <c r="AA117" i="29" s="1"/>
  <c r="AH64" i="28"/>
  <c r="J20" i="31" s="1"/>
  <c r="X63" i="28"/>
  <c r="G19" i="31" s="1"/>
  <c r="R63" i="28"/>
  <c r="S63" i="28"/>
  <c r="Q63" i="28"/>
  <c r="AL63" i="28"/>
  <c r="AM63" i="28"/>
  <c r="AK63" i="28"/>
  <c r="AB64" i="28"/>
  <c r="AC64" i="28"/>
  <c r="AI116" i="29"/>
  <c r="AI117" i="29" s="1"/>
  <c r="AA78" i="29"/>
  <c r="AA79" i="29" s="1"/>
  <c r="AA64" i="28"/>
  <c r="AE108" i="29"/>
  <c r="AE109" i="29" s="1"/>
  <c r="AI112" i="29"/>
  <c r="AI113" i="29" s="1"/>
  <c r="AA82" i="29"/>
  <c r="AA83" i="29" s="1"/>
  <c r="AA74" i="29"/>
  <c r="AA75" i="29" s="1"/>
  <c r="AA108" i="29"/>
  <c r="AA109" i="29" s="1"/>
  <c r="AA112" i="29"/>
  <c r="AA113" i="29" s="1"/>
  <c r="AB38" i="29"/>
  <c r="BJ38" i="29" s="1"/>
  <c r="AI108" i="29"/>
  <c r="AI109" i="29" s="1"/>
  <c r="AI82" i="29"/>
  <c r="AI83" i="29" s="1"/>
  <c r="AE74" i="29"/>
  <c r="AE75" i="29" s="1"/>
  <c r="Q99" i="29"/>
  <c r="Q102" i="29"/>
  <c r="U99" i="29"/>
  <c r="AI78" i="29"/>
  <c r="AI79" i="29" s="1"/>
  <c r="AE78" i="29"/>
  <c r="AE79" i="29" s="1"/>
  <c r="AI74" i="29"/>
  <c r="AI75" i="29" s="1"/>
  <c r="AE116" i="29"/>
  <c r="AE117" i="29" s="1"/>
  <c r="Z68" i="29"/>
  <c r="Z82" i="29" s="1"/>
  <c r="Z83" i="29" s="1"/>
  <c r="N8" i="31"/>
  <c r="L19" i="31"/>
  <c r="N69" i="31"/>
  <c r="N66" i="31"/>
  <c r="N71" i="31"/>
  <c r="BB44" i="31"/>
  <c r="T44" i="31" s="1"/>
  <c r="T43" i="31"/>
  <c r="AF38" i="29"/>
  <c r="T38" i="29"/>
  <c r="AW43" i="31"/>
  <c r="AW47" i="31"/>
  <c r="AW51" i="31"/>
  <c r="AA105" i="31"/>
  <c r="AA103" i="31"/>
  <c r="AA100" i="31"/>
  <c r="T106" i="29"/>
  <c r="AF106" i="29"/>
  <c r="Z103" i="31"/>
  <c r="Z105" i="31"/>
  <c r="Z100" i="31"/>
  <c r="K8" i="31"/>
  <c r="J19" i="29"/>
  <c r="N20" i="29"/>
  <c r="BR50" i="29"/>
  <c r="BR42" i="29"/>
  <c r="BR46" i="29"/>
  <c r="AE100" i="31"/>
  <c r="AE103" i="31"/>
  <c r="AE105" i="31"/>
  <c r="Y68" i="29"/>
  <c r="Y65" i="29"/>
  <c r="Y70" i="29"/>
  <c r="BB52" i="31"/>
  <c r="T52" i="31" s="1"/>
  <c r="T51" i="31"/>
  <c r="BG31" i="29"/>
  <c r="J8" i="31"/>
  <c r="H8" i="31"/>
  <c r="AI66" i="31"/>
  <c r="AI71" i="31"/>
  <c r="AI69" i="31"/>
  <c r="R83" i="31"/>
  <c r="R84" i="31" s="1"/>
  <c r="R79" i="31"/>
  <c r="R80" i="31" s="1"/>
  <c r="R75" i="31"/>
  <c r="R76" i="31" s="1"/>
  <c r="AK36" i="29"/>
  <c r="BS36" i="29" s="1"/>
  <c r="AK34" i="29"/>
  <c r="BS34" i="29" s="1"/>
  <c r="AK31" i="29"/>
  <c r="BB48" i="31"/>
  <c r="T48" i="31" s="1"/>
  <c r="T47" i="31"/>
  <c r="AZ32" i="31"/>
  <c r="R49" i="31"/>
  <c r="R50" i="31" s="1"/>
  <c r="R45" i="31"/>
  <c r="R46" i="31" s="1"/>
  <c r="R41" i="31"/>
  <c r="R42" i="31" s="1"/>
  <c r="AE32" i="31"/>
  <c r="AE37" i="31"/>
  <c r="BM37" i="31" s="1"/>
  <c r="AE35" i="31"/>
  <c r="AD70" i="29"/>
  <c r="AD65" i="29"/>
  <c r="AD68" i="29"/>
  <c r="AA71" i="31"/>
  <c r="AA66" i="31"/>
  <c r="AA69" i="31"/>
  <c r="BE43" i="29"/>
  <c r="W43" i="29" s="1"/>
  <c r="W42" i="29"/>
  <c r="S50" i="29"/>
  <c r="BA51" i="29"/>
  <c r="S51" i="29" s="1"/>
  <c r="BD32" i="31"/>
  <c r="V49" i="31"/>
  <c r="V50" i="31" s="1"/>
  <c r="V41" i="31"/>
  <c r="V42" i="31" s="1"/>
  <c r="V45" i="31"/>
  <c r="V46" i="31" s="1"/>
  <c r="AH65" i="29"/>
  <c r="AH70" i="29"/>
  <c r="AH68" i="29"/>
  <c r="T73" i="31"/>
  <c r="AF73" i="31"/>
  <c r="AF79" i="31" s="1"/>
  <c r="AF80" i="31" s="1"/>
  <c r="W50" i="29"/>
  <c r="BE51" i="29"/>
  <c r="W51" i="29" s="1"/>
  <c r="AI35" i="31"/>
  <c r="AI37" i="31"/>
  <c r="BQ37" i="31" s="1"/>
  <c r="AI32" i="31"/>
  <c r="BE43" i="31"/>
  <c r="BE51" i="31"/>
  <c r="BE47" i="31"/>
  <c r="S46" i="29"/>
  <c r="BA47" i="29"/>
  <c r="S47" i="29" s="1"/>
  <c r="AB39" i="31"/>
  <c r="BJ39" i="31" s="1"/>
  <c r="P39" i="31"/>
  <c r="T65" i="29"/>
  <c r="T68" i="29"/>
  <c r="T70" i="29"/>
  <c r="AE40" i="29"/>
  <c r="AE41" i="29" s="1"/>
  <c r="AE44" i="29"/>
  <c r="AE45" i="29" s="1"/>
  <c r="BM31" i="29"/>
  <c r="AE48" i="29"/>
  <c r="AE49" i="29" s="1"/>
  <c r="V79" i="31"/>
  <c r="V80" i="31" s="1"/>
  <c r="V83" i="31"/>
  <c r="V84" i="31" s="1"/>
  <c r="V75" i="31"/>
  <c r="V76" i="31" s="1"/>
  <c r="BJ32" i="31"/>
  <c r="AH34" i="29"/>
  <c r="BP34" i="29" s="1"/>
  <c r="AH31" i="29"/>
  <c r="AH36" i="29"/>
  <c r="BP36" i="29" s="1"/>
  <c r="H16" i="29"/>
  <c r="AI48" i="29"/>
  <c r="AI49" i="29" s="1"/>
  <c r="AI40" i="29"/>
  <c r="AI41" i="29" s="1"/>
  <c r="AI44" i="29"/>
  <c r="AI45" i="29" s="1"/>
  <c r="BQ31" i="29"/>
  <c r="AZ46" i="29"/>
  <c r="AZ42" i="29"/>
  <c r="AZ50" i="29"/>
  <c r="BE47" i="29"/>
  <c r="W47" i="29" s="1"/>
  <c r="W46" i="29"/>
  <c r="X39" i="31"/>
  <c r="AJ39" i="31"/>
  <c r="BR39" i="31" s="1"/>
  <c r="BA43" i="29"/>
  <c r="S43" i="29" s="1"/>
  <c r="S42" i="29"/>
  <c r="Z116" i="29"/>
  <c r="Z117" i="29" s="1"/>
  <c r="Z108" i="29"/>
  <c r="Z109" i="29" s="1"/>
  <c r="Z112" i="29"/>
  <c r="Z113" i="29" s="1"/>
  <c r="AD31" i="29"/>
  <c r="AD34" i="29"/>
  <c r="BL34" i="29" s="1"/>
  <c r="AD36" i="29"/>
  <c r="BL36" i="29" s="1"/>
  <c r="G20" i="29"/>
  <c r="AC36" i="29" s="1"/>
  <c r="BK36" i="29" s="1"/>
  <c r="J19" i="31"/>
  <c r="K16" i="29"/>
  <c r="AF107" i="31"/>
  <c r="T107" i="31"/>
  <c r="BF42" i="29"/>
  <c r="BF46" i="29"/>
  <c r="BF50" i="29"/>
  <c r="BA43" i="31"/>
  <c r="BA51" i="31"/>
  <c r="BA47" i="31"/>
  <c r="X107" i="31"/>
  <c r="AJ107" i="31"/>
  <c r="AJ71" i="31"/>
  <c r="AJ66" i="31"/>
  <c r="AJ69" i="31"/>
  <c r="AD116" i="29"/>
  <c r="AD117" i="29" s="1"/>
  <c r="AD108" i="29"/>
  <c r="AD109" i="29" s="1"/>
  <c r="AD112" i="29"/>
  <c r="AD113" i="29" s="1"/>
  <c r="AA37" i="31"/>
  <c r="BI37" i="31" s="1"/>
  <c r="AA32" i="31"/>
  <c r="AA35" i="31"/>
  <c r="BD42" i="29"/>
  <c r="BD46" i="29"/>
  <c r="BD50" i="29"/>
  <c r="AI103" i="31"/>
  <c r="AI100" i="31"/>
  <c r="AI105" i="31"/>
  <c r="AD103" i="31"/>
  <c r="AD100" i="31"/>
  <c r="AD105" i="31"/>
  <c r="AK102" i="29"/>
  <c r="AK104" i="29"/>
  <c r="P107" i="31"/>
  <c r="AB107" i="31"/>
  <c r="AB117" i="31" s="1"/>
  <c r="AB118" i="31" s="1"/>
  <c r="M8" i="31"/>
  <c r="G8" i="31"/>
  <c r="L19" i="29"/>
  <c r="AH112" i="29"/>
  <c r="AH113" i="29" s="1"/>
  <c r="AH116" i="29"/>
  <c r="AH117" i="29" s="1"/>
  <c r="AH108" i="29"/>
  <c r="AH109" i="29" s="1"/>
  <c r="AH103" i="31"/>
  <c r="AH100" i="31"/>
  <c r="AH105" i="31"/>
  <c r="AE66" i="31"/>
  <c r="AE71" i="31"/>
  <c r="AE69" i="31"/>
  <c r="AV32" i="31"/>
  <c r="N45" i="31"/>
  <c r="N46" i="31" s="1"/>
  <c r="N49" i="31"/>
  <c r="N50" i="31" s="1"/>
  <c r="N41" i="31"/>
  <c r="N42" i="31" s="1"/>
  <c r="AB116" i="29"/>
  <c r="AB117" i="29" s="1"/>
  <c r="AB108" i="29"/>
  <c r="AB109" i="29" s="1"/>
  <c r="AB112" i="29"/>
  <c r="AB113" i="29" s="1"/>
  <c r="P108" i="29"/>
  <c r="P109" i="29" s="1"/>
  <c r="P112" i="29"/>
  <c r="P113" i="29" s="1"/>
  <c r="P116" i="29"/>
  <c r="P117" i="29" s="1"/>
  <c r="Z78" i="29"/>
  <c r="Z79" i="29" s="1"/>
  <c r="AB44" i="29"/>
  <c r="AB45" i="29" s="1"/>
  <c r="AB48" i="29"/>
  <c r="AB49" i="29" s="1"/>
  <c r="AX38" i="29"/>
  <c r="P48" i="29"/>
  <c r="P49" i="29" s="1"/>
  <c r="P44" i="29"/>
  <c r="P45" i="29" s="1"/>
  <c r="BI42" i="29"/>
  <c r="BI46" i="29"/>
  <c r="BI50" i="29"/>
  <c r="AY31" i="29"/>
  <c r="BH31" i="29"/>
  <c r="Z48" i="29"/>
  <c r="Z49" i="29" s="1"/>
  <c r="Z44" i="29"/>
  <c r="Z45" i="29" s="1"/>
  <c r="N42" i="29"/>
  <c r="AV43" i="29"/>
  <c r="N43" i="29" s="1"/>
  <c r="AV51" i="29"/>
  <c r="N51" i="29" s="1"/>
  <c r="N50" i="29"/>
  <c r="N46" i="29"/>
  <c r="AV47" i="29"/>
  <c r="N47" i="29" s="1"/>
  <c r="AB40" i="29"/>
  <c r="AB41" i="29" s="1"/>
  <c r="P40" i="29"/>
  <c r="AB68" i="29"/>
  <c r="AB65" i="29"/>
  <c r="AB70" i="29"/>
  <c r="Z40" i="29"/>
  <c r="Z41" i="29" s="1"/>
  <c r="AS47" i="28"/>
  <c r="AR47" i="28"/>
  <c r="AM47" i="28"/>
  <c r="AL47" i="28"/>
  <c r="AK47" i="28"/>
  <c r="AC46" i="28"/>
  <c r="AB46" i="28"/>
  <c r="AI46" i="28"/>
  <c r="AA46" i="28"/>
  <c r="AH46" i="28"/>
  <c r="T62" i="28"/>
  <c r="W62" i="28" s="1"/>
  <c r="AS63" i="28"/>
  <c r="V64" i="28"/>
  <c r="AF64" i="28"/>
  <c r="AI64" i="28" s="1"/>
  <c r="AP64" i="28"/>
  <c r="X64" i="28"/>
  <c r="AR64" i="28"/>
  <c r="Y63" i="28"/>
  <c r="AR63" i="28"/>
  <c r="AD63" i="28"/>
  <c r="AG63" i="28" s="1"/>
  <c r="Y46" i="28"/>
  <c r="U47" i="28"/>
  <c r="S46" i="28"/>
  <c r="Q46" i="28"/>
  <c r="R46" i="28"/>
  <c r="V47" i="28"/>
  <c r="I21" i="26"/>
  <c r="J16" i="12" s="1"/>
  <c r="G21" i="24"/>
  <c r="H12" i="12" s="1"/>
  <c r="G6" i="24"/>
  <c r="G11" i="24" s="1"/>
  <c r="H11" i="12" s="1"/>
  <c r="G21" i="18"/>
  <c r="H10" i="12" s="1"/>
  <c r="G6" i="18"/>
  <c r="G11" i="18" s="1"/>
  <c r="H9" i="12" s="1"/>
  <c r="G6" i="26"/>
  <c r="G11" i="26" s="1"/>
  <c r="H15" i="12" s="1"/>
  <c r="G21" i="26"/>
  <c r="H16" i="12" s="1"/>
  <c r="H21" i="24"/>
  <c r="I12" i="12" s="1"/>
  <c r="H21" i="18"/>
  <c r="I10" i="12" s="1"/>
  <c r="I11" i="26"/>
  <c r="J15" i="12" s="1"/>
  <c r="G21" i="25"/>
  <c r="H14" i="12" s="1"/>
  <c r="G6" i="25"/>
  <c r="G11" i="25" s="1"/>
  <c r="H13" i="12" s="1"/>
  <c r="H21" i="26"/>
  <c r="I16" i="12" s="1"/>
  <c r="AC31" i="29" l="1"/>
  <c r="AC34" i="29"/>
  <c r="BK34" i="29" s="1"/>
  <c r="Z74" i="29"/>
  <c r="Z75" i="29" s="1"/>
  <c r="S64" i="28"/>
  <c r="R64" i="28"/>
  <c r="Q64" i="28"/>
  <c r="AL64" i="28"/>
  <c r="AM64" i="28"/>
  <c r="AK64" i="28"/>
  <c r="AB41" i="31"/>
  <c r="AB42" i="31" s="1"/>
  <c r="AB49" i="31"/>
  <c r="AB50" i="31" s="1"/>
  <c r="AB45" i="31"/>
  <c r="AB46" i="31" s="1"/>
  <c r="S47" i="31"/>
  <c r="BA48" i="31"/>
  <c r="S48" i="31" s="1"/>
  <c r="X42" i="29"/>
  <c r="BF43" i="29"/>
  <c r="X43" i="29" s="1"/>
  <c r="U37" i="31"/>
  <c r="BC37" i="31" s="1"/>
  <c r="U32" i="31"/>
  <c r="AD44" i="29"/>
  <c r="AD45" i="29" s="1"/>
  <c r="BL31" i="29"/>
  <c r="AD48" i="29"/>
  <c r="AD49" i="29" s="1"/>
  <c r="AD40" i="29"/>
  <c r="AD41" i="29" s="1"/>
  <c r="BE52" i="31"/>
  <c r="W52" i="31" s="1"/>
  <c r="W51" i="31"/>
  <c r="AF83" i="31"/>
  <c r="AF84" i="31" s="1"/>
  <c r="AA79" i="31"/>
  <c r="AA80" i="31" s="1"/>
  <c r="AA83" i="31"/>
  <c r="AA84" i="31" s="1"/>
  <c r="AA75" i="31"/>
  <c r="AA76" i="31" s="1"/>
  <c r="AJ46" i="29"/>
  <c r="BR47" i="29"/>
  <c r="AJ47" i="29" s="1"/>
  <c r="Z117" i="31"/>
  <c r="Z118" i="31" s="1"/>
  <c r="Z109" i="31"/>
  <c r="Z110" i="31" s="1"/>
  <c r="Z113" i="31"/>
  <c r="Z114" i="31" s="1"/>
  <c r="U100" i="31"/>
  <c r="U103" i="31"/>
  <c r="U105" i="31"/>
  <c r="U102" i="29"/>
  <c r="U104" i="29"/>
  <c r="Z35" i="31"/>
  <c r="Z32" i="31"/>
  <c r="Z37" i="31"/>
  <c r="BH37" i="31" s="1"/>
  <c r="AI117" i="31"/>
  <c r="AI118" i="31" s="1"/>
  <c r="AI113" i="31"/>
  <c r="AI114" i="31" s="1"/>
  <c r="AI109" i="31"/>
  <c r="AI110" i="31" s="1"/>
  <c r="BI32" i="31"/>
  <c r="AA41" i="31"/>
  <c r="AA42" i="31" s="1"/>
  <c r="AA45" i="31"/>
  <c r="AA46" i="31" s="1"/>
  <c r="AA49" i="31"/>
  <c r="AA50" i="31" s="1"/>
  <c r="BA52" i="31"/>
  <c r="S52" i="31" s="1"/>
  <c r="S51" i="31"/>
  <c r="BE44" i="31"/>
  <c r="W44" i="31" s="1"/>
  <c r="W43" i="31"/>
  <c r="BR43" i="29"/>
  <c r="AJ43" i="29" s="1"/>
  <c r="AJ42" i="29"/>
  <c r="X73" i="31"/>
  <c r="AJ73" i="31"/>
  <c r="AJ83" i="31" s="1"/>
  <c r="AJ84" i="31" s="1"/>
  <c r="AA117" i="31"/>
  <c r="AA118" i="31" s="1"/>
  <c r="AA109" i="31"/>
  <c r="AA110" i="31" s="1"/>
  <c r="AA113" i="31"/>
  <c r="AA114" i="31" s="1"/>
  <c r="AW52" i="31"/>
  <c r="O52" i="31" s="1"/>
  <c r="O51" i="31"/>
  <c r="AB113" i="31"/>
  <c r="AB114" i="31" s="1"/>
  <c r="I19" i="31"/>
  <c r="AE79" i="31"/>
  <c r="AE80" i="31" s="1"/>
  <c r="AE83" i="31"/>
  <c r="AE84" i="31" s="1"/>
  <c r="AE75" i="31"/>
  <c r="AE76" i="31" s="1"/>
  <c r="BA44" i="31"/>
  <c r="S44" i="31" s="1"/>
  <c r="S43" i="31"/>
  <c r="BQ46" i="29"/>
  <c r="BQ50" i="29"/>
  <c r="BQ42" i="29"/>
  <c r="BQ32" i="31"/>
  <c r="AI49" i="31"/>
  <c r="AI50" i="31" s="1"/>
  <c r="AI45" i="31"/>
  <c r="AI46" i="31" s="1"/>
  <c r="AI41" i="31"/>
  <c r="AI42" i="31" s="1"/>
  <c r="T79" i="31"/>
  <c r="T80" i="31" s="1"/>
  <c r="T83" i="31"/>
  <c r="T84" i="31" s="1"/>
  <c r="T75" i="31"/>
  <c r="T76" i="31" s="1"/>
  <c r="BS31" i="29"/>
  <c r="BR51" i="29"/>
  <c r="AJ51" i="29" s="1"/>
  <c r="AJ50" i="29"/>
  <c r="AW48" i="31"/>
  <c r="O48" i="31" s="1"/>
  <c r="O47" i="31"/>
  <c r="BB38" i="29"/>
  <c r="T48" i="29"/>
  <c r="T49" i="29" s="1"/>
  <c r="T44" i="29"/>
  <c r="T45" i="29" s="1"/>
  <c r="T40" i="29"/>
  <c r="T41" i="29" s="1"/>
  <c r="AB109" i="31"/>
  <c r="AB110" i="31" s="1"/>
  <c r="Q35" i="31"/>
  <c r="Q32" i="31"/>
  <c r="Q37" i="31"/>
  <c r="AY37" i="31" s="1"/>
  <c r="O19" i="31"/>
  <c r="P113" i="31"/>
  <c r="P114" i="31" s="1"/>
  <c r="P117" i="31"/>
  <c r="P118" i="31" s="1"/>
  <c r="P109" i="31"/>
  <c r="P110" i="31" s="1"/>
  <c r="BD51" i="29"/>
  <c r="V51" i="29" s="1"/>
  <c r="V50" i="29"/>
  <c r="BM46" i="29"/>
  <c r="BM50" i="29"/>
  <c r="BM42" i="29"/>
  <c r="AX39" i="31"/>
  <c r="P45" i="31"/>
  <c r="P46" i="31" s="1"/>
  <c r="P41" i="31"/>
  <c r="P42" i="31" s="1"/>
  <c r="P49" i="31"/>
  <c r="P50" i="31" s="1"/>
  <c r="AH74" i="29"/>
  <c r="AH75" i="29" s="1"/>
  <c r="AH78" i="29"/>
  <c r="AH79" i="29" s="1"/>
  <c r="AH82" i="29"/>
  <c r="AH83" i="29" s="1"/>
  <c r="AD82" i="29"/>
  <c r="AD83" i="29" s="1"/>
  <c r="AD78" i="29"/>
  <c r="AD79" i="29" s="1"/>
  <c r="AD74" i="29"/>
  <c r="AD75" i="29" s="1"/>
  <c r="AK65" i="29"/>
  <c r="AK70" i="29"/>
  <c r="AK68" i="29"/>
  <c r="AD71" i="31"/>
  <c r="AD69" i="31"/>
  <c r="AD66" i="31"/>
  <c r="AF112" i="29"/>
  <c r="AF113" i="29" s="1"/>
  <c r="AF116" i="29"/>
  <c r="AF117" i="29" s="1"/>
  <c r="AF108" i="29"/>
  <c r="AF109" i="29" s="1"/>
  <c r="O43" i="31"/>
  <c r="AW44" i="31"/>
  <c r="O44" i="31" s="1"/>
  <c r="BN38" i="29"/>
  <c r="AF48" i="29"/>
  <c r="AF49" i="29" s="1"/>
  <c r="AF40" i="29"/>
  <c r="AF41" i="29" s="1"/>
  <c r="AF44" i="29"/>
  <c r="AF45" i="29" s="1"/>
  <c r="I20" i="29"/>
  <c r="AG99" i="29" s="1"/>
  <c r="M17" i="29"/>
  <c r="V46" i="29"/>
  <c r="BD47" i="29"/>
  <c r="V47" i="29" s="1"/>
  <c r="T109" i="31"/>
  <c r="T110" i="31" s="1"/>
  <c r="T113" i="31"/>
  <c r="T114" i="31" s="1"/>
  <c r="T117" i="31"/>
  <c r="T118" i="31" s="1"/>
  <c r="R50" i="29"/>
  <c r="AZ51" i="29"/>
  <c r="R51" i="29" s="1"/>
  <c r="AZ43" i="31"/>
  <c r="AZ51" i="31"/>
  <c r="AZ47" i="31"/>
  <c r="AD37" i="31"/>
  <c r="BL37" i="31" s="1"/>
  <c r="AD32" i="31"/>
  <c r="AD35" i="31"/>
  <c r="T116" i="29"/>
  <c r="T117" i="29" s="1"/>
  <c r="T108" i="29"/>
  <c r="T109" i="29" s="1"/>
  <c r="T112" i="29"/>
  <c r="T113" i="29" s="1"/>
  <c r="AH71" i="31"/>
  <c r="AH69" i="31"/>
  <c r="AH66" i="31"/>
  <c r="K19" i="31"/>
  <c r="J20" i="29"/>
  <c r="O17" i="29"/>
  <c r="AH32" i="31"/>
  <c r="AH35" i="31"/>
  <c r="AH37" i="31"/>
  <c r="BP37" i="31" s="1"/>
  <c r="BD43" i="29"/>
  <c r="V43" i="29" s="1"/>
  <c r="V42" i="29"/>
  <c r="AF117" i="31"/>
  <c r="AF118" i="31" s="1"/>
  <c r="AF109" i="31"/>
  <c r="AF110" i="31" s="1"/>
  <c r="AF113" i="31"/>
  <c r="AF114" i="31" s="1"/>
  <c r="R42" i="29"/>
  <c r="AZ43" i="29"/>
  <c r="R43" i="29" s="1"/>
  <c r="AH40" i="29"/>
  <c r="AH41" i="29" s="1"/>
  <c r="BP31" i="29"/>
  <c r="AH44" i="29"/>
  <c r="AH45" i="29" s="1"/>
  <c r="AH48" i="29"/>
  <c r="AH49" i="29" s="1"/>
  <c r="BJ51" i="31"/>
  <c r="BJ47" i="31"/>
  <c r="BJ43" i="31"/>
  <c r="BM32" i="31"/>
  <c r="AE41" i="31"/>
  <c r="AE42" i="31" s="1"/>
  <c r="AE49" i="31"/>
  <c r="AE50" i="31" s="1"/>
  <c r="AE45" i="31"/>
  <c r="AE46" i="31" s="1"/>
  <c r="U31" i="29"/>
  <c r="U36" i="29"/>
  <c r="BC36" i="29" s="1"/>
  <c r="U34" i="29"/>
  <c r="BC34" i="29" s="1"/>
  <c r="M20" i="31"/>
  <c r="M19" i="31"/>
  <c r="H13" i="31"/>
  <c r="AJ109" i="31"/>
  <c r="AJ110" i="31" s="1"/>
  <c r="AJ113" i="31"/>
  <c r="AJ114" i="31" s="1"/>
  <c r="AJ117" i="31"/>
  <c r="AJ118" i="31" s="1"/>
  <c r="BF51" i="29"/>
  <c r="X51" i="29" s="1"/>
  <c r="X50" i="29"/>
  <c r="AF68" i="29"/>
  <c r="AF65" i="29"/>
  <c r="AF70" i="29"/>
  <c r="R46" i="29"/>
  <c r="AZ47" i="29"/>
  <c r="R47" i="29" s="1"/>
  <c r="AF75" i="31"/>
  <c r="AF76" i="31" s="1"/>
  <c r="L20" i="31"/>
  <c r="G20" i="31"/>
  <c r="L20" i="29"/>
  <c r="AV43" i="31"/>
  <c r="AV51" i="31"/>
  <c r="AV47" i="31"/>
  <c r="AH117" i="31"/>
  <c r="AH118" i="31" s="1"/>
  <c r="AH109" i="31"/>
  <c r="AH110" i="31" s="1"/>
  <c r="AH113" i="31"/>
  <c r="AH114" i="31" s="1"/>
  <c r="AD117" i="31"/>
  <c r="AD118" i="31" s="1"/>
  <c r="AD109" i="31"/>
  <c r="AD110" i="31" s="1"/>
  <c r="AD113" i="31"/>
  <c r="AD114" i="31" s="1"/>
  <c r="X117" i="31"/>
  <c r="X118" i="31" s="1"/>
  <c r="X109" i="31"/>
  <c r="X110" i="31" s="1"/>
  <c r="X113" i="31"/>
  <c r="X114" i="31" s="1"/>
  <c r="X46" i="29"/>
  <c r="BF47" i="29"/>
  <c r="X47" i="29" s="1"/>
  <c r="BF39" i="31"/>
  <c r="X41" i="31"/>
  <c r="X42" i="31" s="1"/>
  <c r="X49" i="31"/>
  <c r="X50" i="31" s="1"/>
  <c r="X45" i="31"/>
  <c r="X46" i="31" s="1"/>
  <c r="W47" i="31"/>
  <c r="BE48" i="31"/>
  <c r="W48" i="31" s="1"/>
  <c r="BD43" i="31"/>
  <c r="BD51" i="31"/>
  <c r="BD47" i="31"/>
  <c r="AG37" i="31"/>
  <c r="BO37" i="31" s="1"/>
  <c r="AG32" i="31"/>
  <c r="AG35" i="31"/>
  <c r="AI79" i="31"/>
  <c r="AI80" i="31" s="1"/>
  <c r="AI83" i="31"/>
  <c r="AI84" i="31" s="1"/>
  <c r="AI75" i="31"/>
  <c r="AI76" i="31" s="1"/>
  <c r="Z71" i="31"/>
  <c r="Z66" i="31"/>
  <c r="Z69" i="31"/>
  <c r="AE117" i="31"/>
  <c r="AE118" i="31" s="1"/>
  <c r="AE113" i="31"/>
  <c r="AE114" i="31" s="1"/>
  <c r="AE109" i="31"/>
  <c r="AE110" i="31" s="1"/>
  <c r="N79" i="31"/>
  <c r="N80" i="31" s="1"/>
  <c r="N83" i="31"/>
  <c r="N84" i="31" s="1"/>
  <c r="N75" i="31"/>
  <c r="N76" i="31" s="1"/>
  <c r="AX46" i="29"/>
  <c r="AX50" i="29"/>
  <c r="AX42" i="29"/>
  <c r="P42" i="29" s="1"/>
  <c r="BJ42" i="29"/>
  <c r="AB42" i="29" s="1"/>
  <c r="BJ46" i="29"/>
  <c r="BJ50" i="29"/>
  <c r="BK31" i="29"/>
  <c r="AA50" i="29"/>
  <c r="BI51" i="29"/>
  <c r="AA51" i="29" s="1"/>
  <c r="AA46" i="29"/>
  <c r="BI47" i="29"/>
  <c r="AA47" i="29" s="1"/>
  <c r="P41" i="29"/>
  <c r="AA42" i="29"/>
  <c r="BI43" i="29"/>
  <c r="AA43" i="29" s="1"/>
  <c r="BH46" i="29"/>
  <c r="BH50" i="29"/>
  <c r="BH42" i="29"/>
  <c r="AN47" i="28"/>
  <c r="AQ47" i="28" s="1"/>
  <c r="T44" i="28"/>
  <c r="W44" i="28" s="1"/>
  <c r="AD44" i="28"/>
  <c r="AG44" i="28" s="1"/>
  <c r="AN63" i="28"/>
  <c r="AQ63" i="28" s="1"/>
  <c r="T63" i="28"/>
  <c r="W63" i="28" s="1"/>
  <c r="AD64" i="28"/>
  <c r="AG64" i="28" s="1"/>
  <c r="AS64" i="28"/>
  <c r="AO65" i="28"/>
  <c r="AE65" i="28"/>
  <c r="U65" i="28"/>
  <c r="Y64" i="28"/>
  <c r="X47" i="28"/>
  <c r="AN64" i="28" l="1"/>
  <c r="AQ64" i="28" s="1"/>
  <c r="N20" i="31" s="1"/>
  <c r="AH65" i="28"/>
  <c r="J17" i="31" s="1"/>
  <c r="AB65" i="28"/>
  <c r="AC65" i="28"/>
  <c r="AA65" i="28"/>
  <c r="AC99" i="29"/>
  <c r="AK99" i="29"/>
  <c r="AC104" i="29"/>
  <c r="AC102" i="29"/>
  <c r="AJ79" i="31"/>
  <c r="AJ80" i="31" s="1"/>
  <c r="K13" i="29"/>
  <c r="BD48" i="31"/>
  <c r="V48" i="31" s="1"/>
  <c r="V47" i="31"/>
  <c r="AV52" i="31"/>
  <c r="N52" i="31" s="1"/>
  <c r="N51" i="31"/>
  <c r="AG100" i="31"/>
  <c r="AG105" i="31"/>
  <c r="AG103" i="31"/>
  <c r="AB73" i="31"/>
  <c r="P73" i="31"/>
  <c r="BM47" i="29"/>
  <c r="AE47" i="29" s="1"/>
  <c r="AE46" i="29"/>
  <c r="H19" i="31"/>
  <c r="K20" i="31"/>
  <c r="H13" i="29"/>
  <c r="AJ72" i="29" s="1"/>
  <c r="BD52" i="31"/>
  <c r="V52" i="31" s="1"/>
  <c r="V51" i="31"/>
  <c r="AV44" i="31"/>
  <c r="N44" i="31" s="1"/>
  <c r="N43" i="31"/>
  <c r="AZ48" i="31"/>
  <c r="R48" i="31" s="1"/>
  <c r="R47" i="31"/>
  <c r="AD83" i="31"/>
  <c r="AD84" i="31" s="1"/>
  <c r="AD79" i="31"/>
  <c r="AD80" i="31" s="1"/>
  <c r="AD75" i="31"/>
  <c r="AD76" i="31" s="1"/>
  <c r="BQ43" i="31"/>
  <c r="BQ47" i="31"/>
  <c r="BQ51" i="31"/>
  <c r="AJ75" i="31"/>
  <c r="AJ76" i="31" s="1"/>
  <c r="I20" i="31"/>
  <c r="O20" i="31"/>
  <c r="N17" i="29"/>
  <c r="BD44" i="31"/>
  <c r="V44" i="31" s="1"/>
  <c r="V43" i="31"/>
  <c r="AG104" i="29"/>
  <c r="AG102" i="29"/>
  <c r="Y32" i="31"/>
  <c r="Y35" i="31"/>
  <c r="Y37" i="31"/>
  <c r="BG37" i="31" s="1"/>
  <c r="BJ44" i="31"/>
  <c r="AB44" i="31" s="1"/>
  <c r="AB43" i="31"/>
  <c r="AZ52" i="31"/>
  <c r="R52" i="31" s="1"/>
  <c r="R51" i="31"/>
  <c r="Y100" i="31"/>
  <c r="Y105" i="31"/>
  <c r="Y103" i="31"/>
  <c r="AI42" i="29"/>
  <c r="BQ43" i="29"/>
  <c r="AI43" i="29" s="1"/>
  <c r="BJ48" i="31"/>
  <c r="AB48" i="31" s="1"/>
  <c r="AB47" i="31"/>
  <c r="U71" i="31"/>
  <c r="U66" i="31"/>
  <c r="AZ44" i="31"/>
  <c r="R44" i="31" s="1"/>
  <c r="R43" i="31"/>
  <c r="BN46" i="29"/>
  <c r="BN50" i="29"/>
  <c r="BN42" i="29"/>
  <c r="AI50" i="29"/>
  <c r="BQ51" i="29"/>
  <c r="AI51" i="29" s="1"/>
  <c r="BH32" i="31"/>
  <c r="Z49" i="31"/>
  <c r="Z50" i="31" s="1"/>
  <c r="Z45" i="31"/>
  <c r="Z46" i="31" s="1"/>
  <c r="Z41" i="31"/>
  <c r="Z42" i="31" s="1"/>
  <c r="G17" i="29"/>
  <c r="AC38" i="29" s="1"/>
  <c r="AC37" i="31"/>
  <c r="BK37" i="31" s="1"/>
  <c r="AC32" i="31"/>
  <c r="BJ52" i="31"/>
  <c r="AB52" i="31" s="1"/>
  <c r="AB51" i="31"/>
  <c r="BP32" i="31"/>
  <c r="AH49" i="31"/>
  <c r="AH50" i="31" s="1"/>
  <c r="AH45" i="31"/>
  <c r="AH46" i="31" s="1"/>
  <c r="AH41" i="31"/>
  <c r="AH42" i="31" s="1"/>
  <c r="AK38" i="29"/>
  <c r="Y38" i="29"/>
  <c r="BQ47" i="29"/>
  <c r="AI47" i="29" s="1"/>
  <c r="AI46" i="29"/>
  <c r="BL50" i="29"/>
  <c r="BL42" i="29"/>
  <c r="BL46" i="29"/>
  <c r="Z83" i="31"/>
  <c r="Z84" i="31" s="1"/>
  <c r="Z79" i="31"/>
  <c r="Z80" i="31" s="1"/>
  <c r="Z75" i="31"/>
  <c r="Z76" i="31" s="1"/>
  <c r="Y106" i="29"/>
  <c r="AK106" i="29"/>
  <c r="AX47" i="31"/>
  <c r="AX51" i="31"/>
  <c r="AX43" i="31"/>
  <c r="Q100" i="31"/>
  <c r="Q105" i="31"/>
  <c r="Q103" i="31"/>
  <c r="N19" i="31"/>
  <c r="BO32" i="31"/>
  <c r="BF47" i="31"/>
  <c r="BF51" i="31"/>
  <c r="BF43" i="31"/>
  <c r="AK35" i="31"/>
  <c r="AK32" i="31"/>
  <c r="AK37" i="31"/>
  <c r="BS37" i="31" s="1"/>
  <c r="BM43" i="29"/>
  <c r="AE43" i="29" s="1"/>
  <c r="AE42" i="29"/>
  <c r="BC32" i="31"/>
  <c r="AV48" i="31"/>
  <c r="N48" i="31" s="1"/>
  <c r="N47" i="31"/>
  <c r="BC31" i="29"/>
  <c r="BM43" i="31"/>
  <c r="BM47" i="31"/>
  <c r="BM51" i="31"/>
  <c r="BP42" i="29"/>
  <c r="BP46" i="29"/>
  <c r="BP50" i="29"/>
  <c r="AG34" i="29"/>
  <c r="BO34" i="29" s="1"/>
  <c r="AG36" i="29"/>
  <c r="BO36" i="29" s="1"/>
  <c r="AG31" i="29"/>
  <c r="AH79" i="31"/>
  <c r="AH80" i="31" s="1"/>
  <c r="AH83" i="31"/>
  <c r="AH84" i="31" s="1"/>
  <c r="AH75" i="31"/>
  <c r="AH76" i="31" s="1"/>
  <c r="BL32" i="31"/>
  <c r="AD49" i="31"/>
  <c r="AD50" i="31" s="1"/>
  <c r="AD41" i="31"/>
  <c r="AD42" i="31" s="1"/>
  <c r="AD45" i="31"/>
  <c r="AD46" i="31" s="1"/>
  <c r="AE50" i="29"/>
  <c r="BM51" i="29"/>
  <c r="AE51" i="29" s="1"/>
  <c r="AY32" i="31"/>
  <c r="BB46" i="29"/>
  <c r="BB42" i="29"/>
  <c r="BB50" i="29"/>
  <c r="BI47" i="31"/>
  <c r="BI51" i="31"/>
  <c r="BI43" i="31"/>
  <c r="AX43" i="29"/>
  <c r="P43" i="29" s="1"/>
  <c r="BJ43" i="29"/>
  <c r="AB43" i="29" s="1"/>
  <c r="AB50" i="29"/>
  <c r="BJ51" i="29"/>
  <c r="AB51" i="29" s="1"/>
  <c r="AB46" i="29"/>
  <c r="BJ47" i="29"/>
  <c r="AB47" i="29" s="1"/>
  <c r="AX51" i="29"/>
  <c r="P51" i="29" s="1"/>
  <c r="P50" i="29"/>
  <c r="P46" i="29"/>
  <c r="AX47" i="29"/>
  <c r="P47" i="29" s="1"/>
  <c r="BH51" i="29"/>
  <c r="Z51" i="29" s="1"/>
  <c r="Z50" i="29"/>
  <c r="Z46" i="29"/>
  <c r="BH47" i="29"/>
  <c r="Z47" i="29" s="1"/>
  <c r="Z42" i="29"/>
  <c r="BH43" i="29"/>
  <c r="Z43" i="29" s="1"/>
  <c r="AD45" i="28"/>
  <c r="AG45" i="28" s="1"/>
  <c r="T45" i="28"/>
  <c r="W45" i="28" s="1"/>
  <c r="AA47" i="28"/>
  <c r="AC47" i="28"/>
  <c r="AB47" i="28"/>
  <c r="AI47" i="28"/>
  <c r="AH47" i="28"/>
  <c r="T64" i="28"/>
  <c r="W64" i="28" s="1"/>
  <c r="AP65" i="28"/>
  <c r="V65" i="28"/>
  <c r="AF65" i="28"/>
  <c r="AI65" i="28" s="1"/>
  <c r="X65" i="28"/>
  <c r="Y47" i="28"/>
  <c r="Q47" i="28"/>
  <c r="R47" i="28"/>
  <c r="S47" i="28"/>
  <c r="T72" i="29" l="1"/>
  <c r="T74" i="29" s="1"/>
  <c r="T75" i="29" s="1"/>
  <c r="AF72" i="29"/>
  <c r="AF82" i="29" s="1"/>
  <c r="AF83" i="29" s="1"/>
  <c r="Q38" i="29"/>
  <c r="AY38" i="29" s="1"/>
  <c r="AL65" i="28"/>
  <c r="AM65" i="28"/>
  <c r="AK65" i="28"/>
  <c r="R65" i="28"/>
  <c r="S65" i="28"/>
  <c r="Q65" i="28"/>
  <c r="AS65" i="28"/>
  <c r="O17" i="31" s="1"/>
  <c r="AK112" i="29"/>
  <c r="AK113" i="29" s="1"/>
  <c r="P72" i="29"/>
  <c r="P78" i="29" s="1"/>
  <c r="P79" i="29" s="1"/>
  <c r="AK108" i="29"/>
  <c r="AK109" i="29" s="1"/>
  <c r="AK116" i="29"/>
  <c r="AK117" i="29" s="1"/>
  <c r="AB72" i="29"/>
  <c r="AB82" i="29" s="1"/>
  <c r="AB83" i="29" s="1"/>
  <c r="X72" i="29"/>
  <c r="X78" i="29" s="1"/>
  <c r="X79" i="29" s="1"/>
  <c r="L17" i="31"/>
  <c r="BF48" i="31"/>
  <c r="X48" i="31" s="1"/>
  <c r="X47" i="31"/>
  <c r="BI52" i="31"/>
  <c r="AA52" i="31" s="1"/>
  <c r="AA51" i="31"/>
  <c r="BP51" i="29"/>
  <c r="AH51" i="29" s="1"/>
  <c r="AH50" i="29"/>
  <c r="AJ37" i="31"/>
  <c r="X69" i="31"/>
  <c r="U69" i="31"/>
  <c r="AF39" i="31"/>
  <c r="U35" i="31"/>
  <c r="AC103" i="31"/>
  <c r="AC35" i="31"/>
  <c r="Q69" i="31"/>
  <c r="Q71" i="31"/>
  <c r="Q66" i="31"/>
  <c r="BL51" i="29"/>
  <c r="AD51" i="29" s="1"/>
  <c r="AD50" i="29"/>
  <c r="J17" i="29"/>
  <c r="L17" i="29"/>
  <c r="BI48" i="31"/>
  <c r="AA48" i="31" s="1"/>
  <c r="AA47" i="31"/>
  <c r="AH46" i="29"/>
  <c r="BP47" i="29"/>
  <c r="AH47" i="29" s="1"/>
  <c r="BS32" i="31"/>
  <c r="Y116" i="29"/>
  <c r="Y117" i="29" s="1"/>
  <c r="Y112" i="29"/>
  <c r="Y113" i="29" s="1"/>
  <c r="Y108" i="29"/>
  <c r="Y109" i="29" s="1"/>
  <c r="BP51" i="31"/>
  <c r="BP43" i="31"/>
  <c r="BP47" i="31"/>
  <c r="T50" i="29"/>
  <c r="BB51" i="29"/>
  <c r="T51" i="29" s="1"/>
  <c r="BP43" i="29"/>
  <c r="AH43" i="29" s="1"/>
  <c r="AH42" i="29"/>
  <c r="BQ52" i="31"/>
  <c r="AI52" i="31" s="1"/>
  <c r="AI51" i="31"/>
  <c r="P83" i="31"/>
  <c r="P84" i="31" s="1"/>
  <c r="P79" i="31"/>
  <c r="P80" i="31" s="1"/>
  <c r="P75" i="31"/>
  <c r="P76" i="31" s="1"/>
  <c r="H20" i="31"/>
  <c r="BB43" i="29"/>
  <c r="T43" i="29" s="1"/>
  <c r="T42" i="29"/>
  <c r="BM52" i="31"/>
  <c r="AE52" i="31" s="1"/>
  <c r="AE51" i="31"/>
  <c r="AK105" i="31"/>
  <c r="AK103" i="31"/>
  <c r="AK100" i="31"/>
  <c r="BQ48" i="31"/>
  <c r="AI48" i="31" s="1"/>
  <c r="AI47" i="31"/>
  <c r="AB83" i="31"/>
  <c r="AB84" i="31" s="1"/>
  <c r="AB79" i="31"/>
  <c r="AB80" i="31" s="1"/>
  <c r="AB75" i="31"/>
  <c r="AB76" i="31" s="1"/>
  <c r="U39" i="31"/>
  <c r="BC39" i="31" s="1"/>
  <c r="BC47" i="31" s="1"/>
  <c r="AG39" i="31"/>
  <c r="AX48" i="31"/>
  <c r="P48" i="31" s="1"/>
  <c r="P47" i="31"/>
  <c r="BG32" i="31"/>
  <c r="I17" i="29"/>
  <c r="Q106" i="29" s="1"/>
  <c r="G17" i="31"/>
  <c r="T46" i="29"/>
  <c r="BB47" i="29"/>
  <c r="T47" i="29" s="1"/>
  <c r="BM48" i="31"/>
  <c r="AE48" i="31" s="1"/>
  <c r="AE47" i="31"/>
  <c r="BG38" i="29"/>
  <c r="Y40" i="29"/>
  <c r="Y41" i="29" s="1"/>
  <c r="Y44" i="29"/>
  <c r="Y45" i="29" s="1"/>
  <c r="Y48" i="29"/>
  <c r="Y49" i="29" s="1"/>
  <c r="BN43" i="29"/>
  <c r="AF43" i="29" s="1"/>
  <c r="AF42" i="29"/>
  <c r="AI43" i="31"/>
  <c r="BQ44" i="31"/>
  <c r="AI44" i="31" s="1"/>
  <c r="BI44" i="31"/>
  <c r="AA44" i="31" s="1"/>
  <c r="AA43" i="31"/>
  <c r="BH51" i="31"/>
  <c r="BH43" i="31"/>
  <c r="BH47" i="31"/>
  <c r="H19" i="29"/>
  <c r="Q65" i="29" s="1"/>
  <c r="BO31" i="29"/>
  <c r="BM44" i="31"/>
  <c r="AE44" i="31" s="1"/>
  <c r="AE43" i="31"/>
  <c r="BF44" i="31"/>
  <c r="X44" i="31" s="1"/>
  <c r="X43" i="31"/>
  <c r="AX44" i="31"/>
  <c r="P44" i="31" s="1"/>
  <c r="P43" i="31"/>
  <c r="AD46" i="29"/>
  <c r="BL47" i="29"/>
  <c r="AD47" i="29" s="1"/>
  <c r="BS38" i="29"/>
  <c r="AK40" i="29"/>
  <c r="AK41" i="29" s="1"/>
  <c r="AK48" i="29"/>
  <c r="AK49" i="29" s="1"/>
  <c r="AK44" i="29"/>
  <c r="AK45" i="29" s="1"/>
  <c r="BN51" i="29"/>
  <c r="AF51" i="29" s="1"/>
  <c r="AF50" i="29"/>
  <c r="AC105" i="31"/>
  <c r="AC100" i="31"/>
  <c r="AK71" i="31"/>
  <c r="AK66" i="31"/>
  <c r="AK69" i="31"/>
  <c r="K19" i="29"/>
  <c r="BL47" i="31"/>
  <c r="BL51" i="31"/>
  <c r="BL43" i="31"/>
  <c r="BF52" i="31"/>
  <c r="X52" i="31" s="1"/>
  <c r="X51" i="31"/>
  <c r="Y66" i="31"/>
  <c r="Y71" i="31"/>
  <c r="Y69" i="31"/>
  <c r="AX52" i="31"/>
  <c r="P52" i="31" s="1"/>
  <c r="P51" i="31"/>
  <c r="BL43" i="29"/>
  <c r="AD43" i="29" s="1"/>
  <c r="AD42" i="29"/>
  <c r="BK32" i="31"/>
  <c r="AF46" i="29"/>
  <c r="BN47" i="29"/>
  <c r="AF47" i="29" s="1"/>
  <c r="AG66" i="31"/>
  <c r="AG71" i="31"/>
  <c r="AG69" i="31"/>
  <c r="X82" i="29"/>
  <c r="X83" i="29" s="1"/>
  <c r="AJ82" i="29"/>
  <c r="AJ83" i="29" s="1"/>
  <c r="AJ78" i="29"/>
  <c r="AJ79" i="29" s="1"/>
  <c r="X74" i="29"/>
  <c r="X75" i="29" s="1"/>
  <c r="AJ74" i="29"/>
  <c r="AJ75" i="29" s="1"/>
  <c r="AF74" i="29"/>
  <c r="AF75" i="29" s="1"/>
  <c r="BK38" i="29"/>
  <c r="AC44" i="29"/>
  <c r="AC45" i="29" s="1"/>
  <c r="AC48" i="29"/>
  <c r="AC49" i="29" s="1"/>
  <c r="AC40" i="29"/>
  <c r="AC41" i="29" s="1"/>
  <c r="Q40" i="29"/>
  <c r="T46" i="28"/>
  <c r="W46" i="28" s="1"/>
  <c r="AD46" i="28"/>
  <c r="AG46" i="28" s="1"/>
  <c r="AD65" i="28"/>
  <c r="AG65" i="28" s="1"/>
  <c r="Y65" i="28"/>
  <c r="AR65" i="28"/>
  <c r="T78" i="29" l="1"/>
  <c r="T79" i="29" s="1"/>
  <c r="AF78" i="29"/>
  <c r="AF79" i="29" s="1"/>
  <c r="T82" i="29"/>
  <c r="T83" i="29" s="1"/>
  <c r="Q44" i="29"/>
  <c r="Q45" i="29" s="1"/>
  <c r="Q48" i="29"/>
  <c r="Q49" i="29" s="1"/>
  <c r="AB78" i="29"/>
  <c r="AB79" i="29" s="1"/>
  <c r="AC106" i="29"/>
  <c r="AC108" i="29" s="1"/>
  <c r="AC109" i="29" s="1"/>
  <c r="P74" i="29"/>
  <c r="P75" i="29" s="1"/>
  <c r="AB74" i="29"/>
  <c r="AB75" i="29" s="1"/>
  <c r="P82" i="29"/>
  <c r="P83" i="29" s="1"/>
  <c r="Q70" i="29"/>
  <c r="Q68" i="29"/>
  <c r="U47" i="31"/>
  <c r="H20" i="29"/>
  <c r="AC68" i="29" s="1"/>
  <c r="BL48" i="31"/>
  <c r="AD48" i="31" s="1"/>
  <c r="AD47" i="31"/>
  <c r="BH52" i="31"/>
  <c r="Z52" i="31" s="1"/>
  <c r="Z51" i="31"/>
  <c r="BO39" i="31"/>
  <c r="AG49" i="31"/>
  <c r="AG50" i="31" s="1"/>
  <c r="AG45" i="31"/>
  <c r="AG46" i="31" s="1"/>
  <c r="AG41" i="31"/>
  <c r="AG42" i="31" s="1"/>
  <c r="X83" i="31"/>
  <c r="X84" i="31" s="1"/>
  <c r="X75" i="31"/>
  <c r="X76" i="31" s="1"/>
  <c r="X79" i="31"/>
  <c r="X80" i="31" s="1"/>
  <c r="U68" i="29"/>
  <c r="U65" i="29"/>
  <c r="U70" i="29"/>
  <c r="BS46" i="29"/>
  <c r="BS50" i="29"/>
  <c r="BS42" i="29"/>
  <c r="BP48" i="31"/>
  <c r="AH48" i="31" s="1"/>
  <c r="AH47" i="31"/>
  <c r="U106" i="29"/>
  <c r="AG106" i="29"/>
  <c r="BR37" i="31"/>
  <c r="AJ45" i="31"/>
  <c r="AJ46" i="31" s="1"/>
  <c r="AJ41" i="31"/>
  <c r="AJ42" i="31" s="1"/>
  <c r="AJ49" i="31"/>
  <c r="AJ50" i="31" s="1"/>
  <c r="BG46" i="29"/>
  <c r="BG50" i="29"/>
  <c r="BG42" i="29"/>
  <c r="AC71" i="31"/>
  <c r="AC66" i="31"/>
  <c r="AC69" i="31"/>
  <c r="BP44" i="31"/>
  <c r="AH44" i="31" s="1"/>
  <c r="AH43" i="31"/>
  <c r="BC51" i="31"/>
  <c r="M17" i="31"/>
  <c r="Q39" i="31"/>
  <c r="AC39" i="31"/>
  <c r="BP52" i="31"/>
  <c r="AH52" i="31" s="1"/>
  <c r="AH51" i="31"/>
  <c r="BC43" i="31"/>
  <c r="Y107" i="31"/>
  <c r="AK107" i="31"/>
  <c r="AK113" i="31" s="1"/>
  <c r="AK114" i="31" s="1"/>
  <c r="AG38" i="29"/>
  <c r="U38" i="29"/>
  <c r="U45" i="31"/>
  <c r="U46" i="31" s="1"/>
  <c r="U41" i="31"/>
  <c r="U42" i="31" s="1"/>
  <c r="U49" i="31"/>
  <c r="U50" i="31" s="1"/>
  <c r="I17" i="31"/>
  <c r="BL44" i="31"/>
  <c r="AD44" i="31" s="1"/>
  <c r="AD43" i="31"/>
  <c r="BH48" i="31"/>
  <c r="Z48" i="31" s="1"/>
  <c r="Z47" i="31"/>
  <c r="BN39" i="31"/>
  <c r="AF49" i="31"/>
  <c r="AF50" i="31" s="1"/>
  <c r="AF41" i="31"/>
  <c r="AF42" i="31" s="1"/>
  <c r="AF45" i="31"/>
  <c r="AF46" i="31" s="1"/>
  <c r="U107" i="31"/>
  <c r="AG107" i="31"/>
  <c r="K17" i="31"/>
  <c r="K20" i="29"/>
  <c r="BL52" i="31"/>
  <c r="AD52" i="31" s="1"/>
  <c r="AD51" i="31"/>
  <c r="BH44" i="31"/>
  <c r="Z44" i="31" s="1"/>
  <c r="Z43" i="31"/>
  <c r="Q112" i="29"/>
  <c r="Q113" i="29" s="1"/>
  <c r="Q108" i="29"/>
  <c r="Q109" i="29" s="1"/>
  <c r="Q116" i="29"/>
  <c r="Q117" i="29" s="1"/>
  <c r="BK42" i="29"/>
  <c r="AC42" i="29" s="1"/>
  <c r="BK46" i="29"/>
  <c r="BK50" i="29"/>
  <c r="AY46" i="29"/>
  <c r="AY50" i="29"/>
  <c r="AY42" i="29"/>
  <c r="Q42" i="29" s="1"/>
  <c r="Q41" i="29"/>
  <c r="T65" i="28"/>
  <c r="W65" i="28" s="1"/>
  <c r="AN65" i="28"/>
  <c r="AQ65" i="28" s="1"/>
  <c r="AC112" i="29" l="1"/>
  <c r="AC113" i="29" s="1"/>
  <c r="AC116" i="29"/>
  <c r="AC117" i="29" s="1"/>
  <c r="AC70" i="29"/>
  <c r="AC65" i="29"/>
  <c r="H17" i="31"/>
  <c r="BN43" i="31"/>
  <c r="BN47" i="31"/>
  <c r="BN51" i="31"/>
  <c r="N17" i="31"/>
  <c r="U73" i="31"/>
  <c r="AG73" i="31"/>
  <c r="Q107" i="31"/>
  <c r="AC107" i="31"/>
  <c r="BC44" i="31"/>
  <c r="U44" i="31" s="1"/>
  <c r="U43" i="31"/>
  <c r="BS47" i="29"/>
  <c r="AK47" i="29" s="1"/>
  <c r="AK46" i="29"/>
  <c r="BR43" i="31"/>
  <c r="BR51" i="31"/>
  <c r="BR47" i="31"/>
  <c r="AG113" i="31"/>
  <c r="AG114" i="31" s="1"/>
  <c r="AG117" i="31"/>
  <c r="AG118" i="31" s="1"/>
  <c r="AG109" i="31"/>
  <c r="AG110" i="31" s="1"/>
  <c r="BC38" i="29"/>
  <c r="U40" i="29"/>
  <c r="U41" i="29" s="1"/>
  <c r="U48" i="29"/>
  <c r="U49" i="29" s="1"/>
  <c r="U44" i="29"/>
  <c r="U45" i="29" s="1"/>
  <c r="Y42" i="29"/>
  <c r="BG43" i="29"/>
  <c r="Y43" i="29" s="1"/>
  <c r="AG116" i="29"/>
  <c r="AG117" i="29" s="1"/>
  <c r="AG112" i="29"/>
  <c r="AG113" i="29" s="1"/>
  <c r="AG108" i="29"/>
  <c r="AG109" i="29" s="1"/>
  <c r="BG51" i="29"/>
  <c r="Y51" i="29" s="1"/>
  <c r="Y50" i="29"/>
  <c r="U112" i="29"/>
  <c r="U113" i="29" s="1"/>
  <c r="U108" i="29"/>
  <c r="U109" i="29" s="1"/>
  <c r="U116" i="29"/>
  <c r="U117" i="29" s="1"/>
  <c r="AK109" i="31"/>
  <c r="AK110" i="31" s="1"/>
  <c r="U109" i="31"/>
  <c r="U110" i="31" s="1"/>
  <c r="U113" i="31"/>
  <c r="U114" i="31" s="1"/>
  <c r="U117" i="31"/>
  <c r="U118" i="31" s="1"/>
  <c r="BO38" i="29"/>
  <c r="AG44" i="29"/>
  <c r="AG45" i="29" s="1"/>
  <c r="AG48" i="29"/>
  <c r="AG49" i="29" s="1"/>
  <c r="AG40" i="29"/>
  <c r="AG41" i="29" s="1"/>
  <c r="BC52" i="31"/>
  <c r="U52" i="31" s="1"/>
  <c r="U51" i="31"/>
  <c r="BG47" i="29"/>
  <c r="Y47" i="29" s="1"/>
  <c r="Y46" i="29"/>
  <c r="AK117" i="31"/>
  <c r="AK118" i="31" s="1"/>
  <c r="BK39" i="31"/>
  <c r="AC49" i="31"/>
  <c r="AC50" i="31" s="1"/>
  <c r="AC41" i="31"/>
  <c r="AC42" i="31" s="1"/>
  <c r="AC45" i="31"/>
  <c r="AC46" i="31" s="1"/>
  <c r="Y39" i="31"/>
  <c r="AK39" i="31"/>
  <c r="AG68" i="29"/>
  <c r="AG65" i="29"/>
  <c r="AG70" i="29"/>
  <c r="AY39" i="31"/>
  <c r="Q45" i="31"/>
  <c r="Q46" i="31" s="1"/>
  <c r="Q49" i="31"/>
  <c r="Q50" i="31" s="1"/>
  <c r="Q41" i="31"/>
  <c r="Q42" i="31" s="1"/>
  <c r="BS43" i="29"/>
  <c r="AK43" i="29" s="1"/>
  <c r="AK42" i="29"/>
  <c r="Y109" i="31"/>
  <c r="Y110" i="31" s="1"/>
  <c r="Y113" i="31"/>
  <c r="Y114" i="31" s="1"/>
  <c r="Y117" i="31"/>
  <c r="Y118" i="31" s="1"/>
  <c r="BS51" i="29"/>
  <c r="AK51" i="29" s="1"/>
  <c r="AK50" i="29"/>
  <c r="BO47" i="31"/>
  <c r="BO51" i="31"/>
  <c r="BO43" i="31"/>
  <c r="BC48" i="31"/>
  <c r="U48" i="31" s="1"/>
  <c r="BK43" i="29"/>
  <c r="AC43" i="29" s="1"/>
  <c r="AY51" i="29"/>
  <c r="Q51" i="29" s="1"/>
  <c r="Q50" i="29"/>
  <c r="Q46" i="29"/>
  <c r="AY47" i="29"/>
  <c r="Q47" i="29" s="1"/>
  <c r="AY43" i="29"/>
  <c r="Q43" i="29" s="1"/>
  <c r="AC50" i="29"/>
  <c r="BK51" i="29"/>
  <c r="AC51" i="29" s="1"/>
  <c r="BK47" i="29"/>
  <c r="AC47" i="29" s="1"/>
  <c r="AC46" i="29"/>
  <c r="AD47" i="28"/>
  <c r="AG47" i="28" s="1"/>
  <c r="T47" i="28"/>
  <c r="W47" i="28" s="1"/>
  <c r="BO48" i="31" l="1"/>
  <c r="AG48" i="31" s="1"/>
  <c r="AG47" i="31"/>
  <c r="BS39" i="31"/>
  <c r="AK45" i="31"/>
  <c r="AK46" i="31" s="1"/>
  <c r="AK49" i="31"/>
  <c r="AK50" i="31" s="1"/>
  <c r="AK41" i="31"/>
  <c r="AK42" i="31" s="1"/>
  <c r="BN52" i="31"/>
  <c r="AF52" i="31" s="1"/>
  <c r="AF51" i="31"/>
  <c r="BO52" i="31"/>
  <c r="AG52" i="31" s="1"/>
  <c r="AG51" i="31"/>
  <c r="H17" i="29"/>
  <c r="Q72" i="29" s="1"/>
  <c r="BG39" i="31"/>
  <c r="Y49" i="31"/>
  <c r="Y50" i="31" s="1"/>
  <c r="Y45" i="31"/>
  <c r="Y46" i="31" s="1"/>
  <c r="Y41" i="31"/>
  <c r="Y42" i="31" s="1"/>
  <c r="BR48" i="31"/>
  <c r="AJ48" i="31" s="1"/>
  <c r="AJ47" i="31"/>
  <c r="BN48" i="31"/>
  <c r="AF48" i="31" s="1"/>
  <c r="AF47" i="31"/>
  <c r="K17" i="29"/>
  <c r="AY43" i="31"/>
  <c r="AY47" i="31"/>
  <c r="AY51" i="31"/>
  <c r="BO42" i="29"/>
  <c r="BO46" i="29"/>
  <c r="BO50" i="29"/>
  <c r="BR52" i="31"/>
  <c r="AJ52" i="31" s="1"/>
  <c r="AJ51" i="31"/>
  <c r="AG83" i="31"/>
  <c r="AG84" i="31" s="1"/>
  <c r="AG79" i="31"/>
  <c r="AG80" i="31" s="1"/>
  <c r="AG75" i="31"/>
  <c r="AG76" i="31" s="1"/>
  <c r="BN44" i="31"/>
  <c r="AF44" i="31" s="1"/>
  <c r="AF43" i="31"/>
  <c r="BR44" i="31"/>
  <c r="AJ44" i="31" s="1"/>
  <c r="AJ43" i="31"/>
  <c r="U83" i="31"/>
  <c r="U84" i="31" s="1"/>
  <c r="U75" i="31"/>
  <c r="U76" i="31" s="1"/>
  <c r="U79" i="31"/>
  <c r="U80" i="31" s="1"/>
  <c r="AC113" i="31"/>
  <c r="AC114" i="31" s="1"/>
  <c r="AC117" i="31"/>
  <c r="AC118" i="31" s="1"/>
  <c r="AC109" i="31"/>
  <c r="AC110" i="31" s="1"/>
  <c r="BK47" i="31"/>
  <c r="BK43" i="31"/>
  <c r="BK51" i="31"/>
  <c r="BC50" i="29"/>
  <c r="BC46" i="29"/>
  <c r="BC42" i="29"/>
  <c r="Q109" i="31"/>
  <c r="Q110" i="31" s="1"/>
  <c r="Q113" i="31"/>
  <c r="Q114" i="31" s="1"/>
  <c r="Q117" i="31"/>
  <c r="Q118" i="31" s="1"/>
  <c r="Y73" i="31"/>
  <c r="AK73" i="31"/>
  <c r="Q73" i="31"/>
  <c r="AC73" i="31"/>
  <c r="AG43" i="31"/>
  <c r="BO44" i="31"/>
  <c r="AG44" i="31" s="1"/>
  <c r="Y72" i="29" l="1"/>
  <c r="Y78" i="29" s="1"/>
  <c r="Y79" i="29" s="1"/>
  <c r="AC72" i="29"/>
  <c r="AC74" i="29" s="1"/>
  <c r="AC75" i="29" s="1"/>
  <c r="AG72" i="29"/>
  <c r="AG78" i="29" s="1"/>
  <c r="AG79" i="29" s="1"/>
  <c r="U72" i="29"/>
  <c r="U82" i="29" s="1"/>
  <c r="U83" i="29" s="1"/>
  <c r="AK72" i="29"/>
  <c r="AK82" i="29" s="1"/>
  <c r="AK83" i="29" s="1"/>
  <c r="Q43" i="31"/>
  <c r="AY44" i="31"/>
  <c r="Q44" i="31" s="1"/>
  <c r="BK52" i="31"/>
  <c r="AC52" i="31" s="1"/>
  <c r="AC51" i="31"/>
  <c r="BK44" i="31"/>
  <c r="AC44" i="31" s="1"/>
  <c r="AC43" i="31"/>
  <c r="AG50" i="29"/>
  <c r="BO51" i="29"/>
  <c r="AG51" i="29" s="1"/>
  <c r="BG51" i="31"/>
  <c r="BG47" i="31"/>
  <c r="BG43" i="31"/>
  <c r="AC79" i="31"/>
  <c r="AC80" i="31" s="1"/>
  <c r="AC83" i="31"/>
  <c r="AC84" i="31" s="1"/>
  <c r="AC75" i="31"/>
  <c r="AC76" i="31" s="1"/>
  <c r="AG42" i="29"/>
  <c r="BO43" i="29"/>
  <c r="AG43" i="29" s="1"/>
  <c r="BK48" i="31"/>
  <c r="AC48" i="31" s="1"/>
  <c r="AC47" i="31"/>
  <c r="Q75" i="31"/>
  <c r="Q76" i="31" s="1"/>
  <c r="Q79" i="31"/>
  <c r="Q80" i="31" s="1"/>
  <c r="Q83" i="31"/>
  <c r="Q84" i="31" s="1"/>
  <c r="AK83" i="31"/>
  <c r="AK84" i="31" s="1"/>
  <c r="AK79" i="31"/>
  <c r="AK80" i="31" s="1"/>
  <c r="AK75" i="31"/>
  <c r="AK76" i="31" s="1"/>
  <c r="U42" i="29"/>
  <c r="BC43" i="29"/>
  <c r="U43" i="29" s="1"/>
  <c r="BS51" i="31"/>
  <c r="BS47" i="31"/>
  <c r="BS43" i="31"/>
  <c r="BO47" i="29"/>
  <c r="AG47" i="29" s="1"/>
  <c r="AG46" i="29"/>
  <c r="Y75" i="31"/>
  <c r="Y76" i="31" s="1"/>
  <c r="Y83" i="31"/>
  <c r="Y84" i="31" s="1"/>
  <c r="Y79" i="31"/>
  <c r="Y80" i="31" s="1"/>
  <c r="BC47" i="29"/>
  <c r="U47" i="29" s="1"/>
  <c r="U46" i="29"/>
  <c r="Q51" i="31"/>
  <c r="AY52" i="31"/>
  <c r="Q52" i="31" s="1"/>
  <c r="BC51" i="29"/>
  <c r="U51" i="29" s="1"/>
  <c r="U50" i="29"/>
  <c r="Q47" i="31"/>
  <c r="AY48" i="31"/>
  <c r="Q48" i="31" s="1"/>
  <c r="Q82" i="29"/>
  <c r="Q83" i="29" s="1"/>
  <c r="Q78" i="29"/>
  <c r="Q79" i="29" s="1"/>
  <c r="Q74" i="29"/>
  <c r="Q75" i="29" s="1"/>
  <c r="AC78" i="29" l="1"/>
  <c r="AC79" i="29" s="1"/>
  <c r="AC82" i="29"/>
  <c r="AC83" i="29" s="1"/>
  <c r="Y74" i="29"/>
  <c r="Y75" i="29" s="1"/>
  <c r="Y82" i="29"/>
  <c r="Y83" i="29" s="1"/>
  <c r="AG82" i="29"/>
  <c r="AG83" i="29" s="1"/>
  <c r="AK78" i="29"/>
  <c r="AK79" i="29" s="1"/>
  <c r="U74" i="29"/>
  <c r="U75" i="29" s="1"/>
  <c r="U78" i="29"/>
  <c r="U79" i="29" s="1"/>
  <c r="AG74" i="29"/>
  <c r="AG75" i="29" s="1"/>
  <c r="AK74" i="29"/>
  <c r="AK75" i="29" s="1"/>
  <c r="BS44" i="31"/>
  <c r="AK44" i="31" s="1"/>
  <c r="AK43" i="31"/>
  <c r="BS48" i="31"/>
  <c r="AK48" i="31" s="1"/>
  <c r="AK47" i="31"/>
  <c r="BG48" i="31"/>
  <c r="Y48" i="31" s="1"/>
  <c r="Y47" i="31"/>
  <c r="Y51" i="31"/>
  <c r="BG52" i="31"/>
  <c r="Y52" i="31" s="1"/>
  <c r="AK51" i="31"/>
  <c r="BS52" i="31"/>
  <c r="AK52" i="31" s="1"/>
  <c r="BG44" i="31"/>
  <c r="Y44" i="31" s="1"/>
  <c r="Y43" i="31"/>
</calcChain>
</file>

<file path=xl/sharedStrings.xml><?xml version="1.0" encoding="utf-8"?>
<sst xmlns="http://schemas.openxmlformats.org/spreadsheetml/2006/main" count="2810" uniqueCount="486">
  <si>
    <t>DHW Fuel</t>
  </si>
  <si>
    <t>Total</t>
  </si>
  <si>
    <t>Natural Gas</t>
  </si>
  <si>
    <t>0.1%*</t>
  </si>
  <si>
    <t>Electric</t>
  </si>
  <si>
    <t>Propane</t>
  </si>
  <si>
    <t>Solar</t>
  </si>
  <si>
    <t>Other</t>
  </si>
  <si>
    <t>Type</t>
  </si>
  <si>
    <t>Annual Cycles</t>
  </si>
  <si>
    <t>Single Family</t>
  </si>
  <si>
    <t>Multi-family</t>
  </si>
  <si>
    <t>2012 DOE Res CW Technical Support Document -  Ch. 7, p. 7-6, http://www.regulations.gov/#!documentDetail;D=EERE-2008-BT-STD-0019-0047</t>
  </si>
  <si>
    <t xml:space="preserve">DOE </t>
  </si>
  <si>
    <t>PG&amp;E</t>
  </si>
  <si>
    <t>SDG&amp;E</t>
  </si>
  <si>
    <t>SCE</t>
  </si>
  <si>
    <t>Dryer</t>
  </si>
  <si>
    <t>Average Per Cycle Energy Usage by Fuel</t>
  </si>
  <si>
    <t>Efficiency</t>
  </si>
  <si>
    <t>Water Heating Fuel Use/Cycle</t>
  </si>
  <si>
    <t>Dryer Usage/Cycle</t>
  </si>
  <si>
    <t>Clothes Washer Usage/Cycle</t>
  </si>
  <si>
    <t>Total Electricity</t>
  </si>
  <si>
    <t>Therm</t>
  </si>
  <si>
    <t>kWh</t>
  </si>
  <si>
    <t>Non-ENERGY STAR</t>
  </si>
  <si>
    <t>Electric DHW / Electric Dryer</t>
  </si>
  <si>
    <t>Energy Use per cycle</t>
  </si>
  <si>
    <t>Machine (kWh)</t>
  </si>
  <si>
    <t>Dryer (kWh)</t>
  </si>
  <si>
    <t>Dryer (therms)</t>
  </si>
  <si>
    <t>Water Heat (kWh)</t>
  </si>
  <si>
    <t>Water Heat (therms)</t>
  </si>
  <si>
    <t>Baseline</t>
  </si>
  <si>
    <t>Gas DHW / Electric Dryer</t>
  </si>
  <si>
    <t>Gas DHW / Gas Dryer</t>
  </si>
  <si>
    <t>Savings</t>
  </si>
  <si>
    <t>Average Per Cycle Water Usage</t>
  </si>
  <si>
    <t>Avg Hot Water (Gallons/Cycle)</t>
  </si>
  <si>
    <t>Avg Cold Water (Gallons/Cycle)</t>
  </si>
  <si>
    <t>Avg Total (Gallons/Cycle)</t>
  </si>
  <si>
    <t>Total kWh</t>
  </si>
  <si>
    <t>Total therms</t>
  </si>
  <si>
    <t>W/H and Dryer Population Weights</t>
  </si>
  <si>
    <t>Gas WH</t>
  </si>
  <si>
    <t>Electric WH</t>
  </si>
  <si>
    <t>Gas Dryer</t>
  </si>
  <si>
    <t>Electric Dryer</t>
  </si>
  <si>
    <t>kWh to therm conversion:</t>
  </si>
  <si>
    <t>Residential Clothes Washer per Cycle Energy Usage</t>
  </si>
  <si>
    <t>http://www1.eere.energy.gov/buildings/appliance_standards/residential/pdfs/rcw_dfr_tsd_ch7.pdf</t>
  </si>
  <si>
    <t>Top Loading Standard Capacity Energy Use by Cycle</t>
  </si>
  <si>
    <t>MEF</t>
  </si>
  <si>
    <t>Volume</t>
  </si>
  <si>
    <t>Energy Use (kWh/cycle)</t>
  </si>
  <si>
    <t>Machine</t>
  </si>
  <si>
    <t>Water Heat</t>
  </si>
  <si>
    <t>Water Savings</t>
  </si>
  <si>
    <t>Water Use per cycle</t>
  </si>
  <si>
    <t>Machine (gal)</t>
  </si>
  <si>
    <t xml:space="preserve">2006-2008 High Impact Measure Evaluation Report </t>
  </si>
  <si>
    <t xml:space="preserve"> http://www.calmac.org/publications/FinalResidentialRetroEvaluationReport_11.pdf</t>
  </si>
  <si>
    <t>0608 HIM Evaluation Report -p.46</t>
  </si>
  <si>
    <t xml:space="preserve">0608 HIM Evaluation Report -p.42 </t>
  </si>
  <si>
    <t>Annual Water Use (gal) - [Table 7.3.1]</t>
  </si>
  <si>
    <t>Electric DHW / Gas Dryer</t>
  </si>
  <si>
    <t>      * Results represent a sample of fewer than 25 households.</t>
  </si>
  <si>
    <t>NO DRYER</t>
  </si>
  <si>
    <t>NATURAL GAS DRYER</t>
  </si>
  <si>
    <t>ELECTRIC DRYER</t>
  </si>
  <si>
    <t>BOTTLED GAS DRYER</t>
  </si>
  <si>
    <t>NO RESPONSE</t>
  </si>
  <si>
    <t>NOT APPLICABLE</t>
  </si>
  <si>
    <t>0.2%*</t>
  </si>
  <si>
    <t>Total population for gas/electric dry, gas/electric DHW:</t>
  </si>
  <si>
    <t>Electric (kWh)</t>
  </si>
  <si>
    <t>Gas (therm)</t>
  </si>
  <si>
    <t>Water (gal)</t>
  </si>
  <si>
    <t>Workpaper Number</t>
  </si>
  <si>
    <t>Program Delivery Method(s)</t>
  </si>
  <si>
    <t>Revision #</t>
  </si>
  <si>
    <t>Sector</t>
  </si>
  <si>
    <t>Program Administrator</t>
  </si>
  <si>
    <t>Application Type(s)</t>
  </si>
  <si>
    <t>Last Modified</t>
  </si>
  <si>
    <t>1st Baseline:
 If ROB, these savings are Above Code/Standard, if ER these savings are Above Existing/Customer Average</t>
  </si>
  <si>
    <t>2nd Baseline:
 If ROB, these savings are Zero, if ER these savings are Above Code/Standard</t>
  </si>
  <si>
    <t>Measure Code</t>
  </si>
  <si>
    <t>Measure Description</t>
  </si>
  <si>
    <t>Measure Application Type</t>
  </si>
  <si>
    <t>Building Type</t>
  </si>
  <si>
    <t>BldgVint</t>
  </si>
  <si>
    <t>Climate Zone</t>
  </si>
  <si>
    <t>Unit</t>
  </si>
  <si>
    <t>KW
Peak Electric Demand Reduction</t>
  </si>
  <si>
    <t>KWh
Electric Savings</t>
  </si>
  <si>
    <t>THM
Gas Savings</t>
  </si>
  <si>
    <t>LIFE CYCLE
(RUL if ER)</t>
  </si>
  <si>
    <t>Base Case Cost ($/unit)</t>
  </si>
  <si>
    <t>MatlCost ($/unit)</t>
  </si>
  <si>
    <t>LaborCost ($/unit)</t>
  </si>
  <si>
    <t>Incremental/Full
Measure
Cost ($/unit)</t>
  </si>
  <si>
    <t>LIFE CYCLE
(EUL if ER)</t>
  </si>
  <si>
    <t>NTG</t>
  </si>
  <si>
    <t>GSIA</t>
  </si>
  <si>
    <t>Program Delivery Method</t>
  </si>
  <si>
    <t>PA</t>
  </si>
  <si>
    <t>Residential</t>
  </si>
  <si>
    <t>Gas water heater efficiency</t>
  </si>
  <si>
    <t>Recipient Household Does Not Buy CW</t>
  </si>
  <si>
    <t>Recipient Household Buys Title 20 CW</t>
  </si>
  <si>
    <t>Recipient Household Buys Similar Used CW</t>
  </si>
  <si>
    <t>Recipient Household Action</t>
  </si>
  <si>
    <t>Does Not Buy CW</t>
  </si>
  <si>
    <t>Buys Title 20 CW</t>
  </si>
  <si>
    <t>Buys Similar Used CW</t>
  </si>
  <si>
    <t>Scenario Weight (from NREL UMP Refrigerator Recycling Evaluation Protocol - pg. 7-20)</t>
  </si>
  <si>
    <t>ER</t>
  </si>
  <si>
    <t>MFm</t>
  </si>
  <si>
    <t>SFm</t>
  </si>
  <si>
    <t>TBD</t>
  </si>
  <si>
    <t>Clothes Washer Recycling</t>
  </si>
  <si>
    <t>Each</t>
  </si>
  <si>
    <t>EX</t>
  </si>
  <si>
    <t xml:space="preserve">Title 20 </t>
  </si>
  <si>
    <t>Title 20</t>
  </si>
  <si>
    <t>2013 ENERGY STAR Shipment Data for CA Clothes Washers</t>
  </si>
  <si>
    <t>(Source: https://www.energystar.gov/ia/partners/downloads/unit_shipment_data/2013_USD_Summary_Report.pdf?4d23-0994 )</t>
  </si>
  <si>
    <t>Total ES Residential Shipments</t>
  </si>
  <si>
    <t>Market Penetration</t>
  </si>
  <si>
    <t>Total Residential Shipments</t>
  </si>
  <si>
    <t>CA Pop. Share</t>
  </si>
  <si>
    <t>Est. Annual CA Shipments</t>
  </si>
  <si>
    <r>
      <t xml:space="preserve">2010 AHAM Survey Data Results  (Purchases </t>
    </r>
    <r>
      <rPr>
        <sz val="12"/>
        <color theme="1"/>
        <rFont val="Calibri"/>
        <family val="2"/>
      </rPr>
      <t>≤ 5 Years)</t>
    </r>
  </si>
  <si>
    <t>% of Annual</t>
  </si>
  <si>
    <r>
      <t xml:space="preserve">Purchases </t>
    </r>
    <r>
      <rPr>
        <b/>
        <sz val="11"/>
        <color theme="1"/>
        <rFont val="Calibri"/>
        <family val="2"/>
      </rPr>
      <t>Replacing Top-Loader</t>
    </r>
  </si>
  <si>
    <t>Top-Loaders Replaced w/ Center Agitators</t>
  </si>
  <si>
    <t>Purchases Where Previous CW Likely Still Working</t>
  </si>
  <si>
    <t>Estimated Max. Annual Participation</t>
  </si>
  <si>
    <t>From 2010 AHAM Survey Data</t>
  </si>
  <si>
    <r>
      <t>Purchased (</t>
    </r>
    <r>
      <rPr>
        <b/>
        <sz val="11"/>
        <color theme="1"/>
        <rFont val="Calibri"/>
        <family val="2"/>
      </rPr>
      <t>≤</t>
    </r>
    <r>
      <rPr>
        <b/>
        <sz val="11"/>
        <color theme="1"/>
        <rFont val="Calibri"/>
        <family val="2"/>
        <scheme val="minor"/>
      </rPr>
      <t xml:space="preserve"> 5 years)</t>
    </r>
  </si>
  <si>
    <t>New Clothes Washer Type</t>
  </si>
  <si>
    <t>TOTAL #</t>
  </si>
  <si>
    <t>% of All Purchases</t>
  </si>
  <si>
    <t>Clothes Washer Type Replaced</t>
  </si>
  <si>
    <t>Top Load</t>
  </si>
  <si>
    <t>HE Top Load</t>
  </si>
  <si>
    <t>Front Load</t>
  </si>
  <si>
    <r>
      <t>Primary Reason for Purchasing CW (</t>
    </r>
    <r>
      <rPr>
        <b/>
        <sz val="11"/>
        <color theme="1"/>
        <rFont val="Calibri"/>
        <family val="2"/>
      </rPr>
      <t>≤ 5 years)</t>
    </r>
  </si>
  <si>
    <t>Reason</t>
  </si>
  <si>
    <t>Appliance died and/or too costly to repair</t>
  </si>
  <si>
    <t xml:space="preserve">Upgraded to new, more efficient </t>
  </si>
  <si>
    <t>Upgraded to new w/ more modern features</t>
  </si>
  <si>
    <t>Bought new home</t>
  </si>
  <si>
    <t>Room remodeled</t>
  </si>
  <si>
    <t>Moved to location without appliance</t>
  </si>
  <si>
    <t>Needed additional one</t>
  </si>
  <si>
    <t>Needed different size</t>
  </si>
  <si>
    <t xml:space="preserve">TOTAL </t>
  </si>
  <si>
    <t xml:space="preserve">IOU: </t>
  </si>
  <si>
    <t xml:space="preserve">Lighting Type: </t>
  </si>
  <si>
    <t>CFL</t>
  </si>
  <si>
    <t>Vintage:</t>
  </si>
  <si>
    <t>Existing</t>
  </si>
  <si>
    <t>Climate Zone:</t>
  </si>
  <si>
    <t>IOU Territory</t>
  </si>
  <si>
    <t>Energy Impacts per ΔWatt Lighting</t>
  </si>
  <si>
    <t>Measure</t>
  </si>
  <si>
    <t>Building</t>
  </si>
  <si>
    <t>Energy</t>
  </si>
  <si>
    <t>Demand</t>
  </si>
  <si>
    <t>Gas</t>
  </si>
  <si>
    <t>Vintage</t>
  </si>
  <si>
    <t>kWh/ΔW</t>
  </si>
  <si>
    <t>Watt/ΔW</t>
  </si>
  <si>
    <t>kBTU/ΔW</t>
  </si>
  <si>
    <t>kWh/kWh</t>
  </si>
  <si>
    <t>kW/kW</t>
  </si>
  <si>
    <t>therm/kWh</t>
  </si>
  <si>
    <t>Asm</t>
  </si>
  <si>
    <t>Ex</t>
  </si>
  <si>
    <t>EPr</t>
  </si>
  <si>
    <t>ESe</t>
  </si>
  <si>
    <t>ECC</t>
  </si>
  <si>
    <t>EUn</t>
  </si>
  <si>
    <t>ERC</t>
  </si>
  <si>
    <t>Gro</t>
  </si>
  <si>
    <t>Hsp</t>
  </si>
  <si>
    <t>Nrs</t>
  </si>
  <si>
    <t>Htl</t>
  </si>
  <si>
    <t>Mtl</t>
  </si>
  <si>
    <t>MBT</t>
  </si>
  <si>
    <t>MLI</t>
  </si>
  <si>
    <t>OfL</t>
  </si>
  <si>
    <t>OfS</t>
  </si>
  <si>
    <t>RSD</t>
  </si>
  <si>
    <t>RFF</t>
  </si>
  <si>
    <t>Rt3</t>
  </si>
  <si>
    <t>RtL</t>
  </si>
  <si>
    <t>RtS</t>
  </si>
  <si>
    <t>SCn</t>
  </si>
  <si>
    <t>SUn</t>
  </si>
  <si>
    <t>WRf</t>
  </si>
  <si>
    <t>Com</t>
  </si>
  <si>
    <t>DMo</t>
  </si>
  <si>
    <t>Res</t>
  </si>
  <si>
    <t>Average CFL Average Interactive Effect Factors for PG&amp;E and SCE</t>
  </si>
  <si>
    <t>PG&amp;E HVAC Factors</t>
  </si>
  <si>
    <t>SCE HVAC Factors</t>
  </si>
  <si>
    <t>Statewide Average HVAC Factors</t>
  </si>
  <si>
    <t>Small Office</t>
  </si>
  <si>
    <t xml:space="preserve">Gas dryer correction factor </t>
  </si>
  <si>
    <t>source: DOE TSD 2012, Ch 7 page 7-1</t>
  </si>
  <si>
    <t>source: DOE TSD 2012, Ch 7 page 7-2</t>
  </si>
  <si>
    <t>Multi-Family Common Area</t>
  </si>
  <si>
    <t>Peak kW / kWh:</t>
  </si>
  <si>
    <t>Weighted Energy Consumption 
per cycle</t>
  </si>
  <si>
    <t>Weighted Energy Consumption 
per year</t>
  </si>
  <si>
    <t>Energy Savings per year
Whole Building</t>
  </si>
  <si>
    <t>therms</t>
  </si>
  <si>
    <t>peak kW</t>
  </si>
  <si>
    <t>Base</t>
  </si>
  <si>
    <t>Energy Savings per cycle
End Use</t>
  </si>
  <si>
    <t>Energy Savings per year
End Use</t>
  </si>
  <si>
    <t>Energy Consumption 
per cycle</t>
  </si>
  <si>
    <t>Energy Consumption 
per year</t>
  </si>
  <si>
    <t>Single Family and Multi-Family In Unit</t>
  </si>
  <si>
    <t>Measure UEC</t>
  </si>
  <si>
    <t>Energy Demand per year
Whole Building</t>
  </si>
  <si>
    <t>gallons</t>
  </si>
  <si>
    <t>Water Consumed per year</t>
  </si>
  <si>
    <t>SFm/MFm In Unit</t>
  </si>
  <si>
    <t>MFm Common Area</t>
  </si>
  <si>
    <t>Source: 2012 DOE Technical Support Document, Chapter 7 Table 7.2.1 and Table 7.3.1</t>
  </si>
  <si>
    <t>PG&amp;E Residential Clothes Washer Energy Savings (SFm/MFm In Unit and MFm Common Area)</t>
  </si>
  <si>
    <t>SCE Residential Clothes Washer Energy Savings (SFm/MFm In Unit and MFm Common Area)</t>
  </si>
  <si>
    <t>PGE</t>
  </si>
  <si>
    <t>Downstream or Midstream</t>
  </si>
  <si>
    <t>Water Savings per year</t>
  </si>
  <si>
    <t>Gal
Water Savings</t>
  </si>
  <si>
    <t xml:space="preserve">2009 RASS Saturation table accessed 2/23/15 from http://websafe.kemainc.com/rass2009/Query.aspx?QType=1&amp;tabid=1 </t>
  </si>
  <si>
    <t>Report Year:  2009</t>
  </si>
  <si>
    <t>Report View:  DHW Fuel</t>
  </si>
  <si>
    <t>Survey Section:  Laundry</t>
  </si>
  <si>
    <t>Survey Question:  Type of clothes dryer - E5</t>
  </si>
  <si>
    <t>Report Detail:  Non-Weighted, Include No Response, Include Not-Applicable</t>
  </si>
  <si>
    <t>Filtered By:    Electric Utility:PG&amp;E;  Gas Utility:PG&amp;E;</t>
  </si>
  <si>
    <t>Filtered By:    Electric Utility:SCE;</t>
  </si>
  <si>
    <t>The query returns 5,927 records, representing 3,636,499 Population.</t>
  </si>
  <si>
    <t>The query returns 11,136 records, representing 4,371,616 Population.</t>
  </si>
  <si>
    <t>Survey Question: Type of clothes dryer - E5</t>
  </si>
  <si>
    <t>3*</t>
  </si>
  <si>
    <t>10*</t>
  </si>
  <si>
    <t>17*</t>
  </si>
  <si>
    <t>21*</t>
  </si>
  <si>
    <t>15*</t>
  </si>
  <si>
    <t>11*</t>
  </si>
  <si>
    <t>11.0%*</t>
  </si>
  <si>
    <t>7.4%*</t>
  </si>
  <si>
    <t>1.1%*</t>
  </si>
  <si>
    <t>4*</t>
  </si>
  <si>
    <t>2*</t>
  </si>
  <si>
    <t>7*</t>
  </si>
  <si>
    <t>5*</t>
  </si>
  <si>
    <t>9*</t>
  </si>
  <si>
    <t>14.8%*</t>
  </si>
  <si>
    <t>25.9%*</t>
  </si>
  <si>
    <t>18.5%*</t>
  </si>
  <si>
    <t>33.3%*</t>
  </si>
  <si>
    <t>1.2%*</t>
  </si>
  <si>
    <t>1*</t>
  </si>
  <si>
    <t>50.0%*</t>
  </si>
  <si>
    <t>100.0%*</t>
  </si>
  <si>
    <t>6*</t>
  </si>
  <si>
    <t>12.5%*</t>
  </si>
  <si>
    <t>75.0%*</t>
  </si>
  <si>
    <t>Report Detail:  Weighted, Include No Response, Include Not-Applicable</t>
  </si>
  <si>
    <t>Filtered By:    Electric Utility:SDG&amp;E;  Gas Utility:SDG&amp;E;</t>
  </si>
  <si>
    <t>Filtered By:    Gas Utility:So Cal Gas;</t>
  </si>
  <si>
    <t>The query returns 3,073 records, representing 912,743 Population.</t>
  </si>
  <si>
    <t>The query returns 10,546 records, representing 4,499,490 Population.</t>
  </si>
  <si>
    <t>118*</t>
  </si>
  <si>
    <t>474*</t>
  </si>
  <si>
    <t>22*</t>
  </si>
  <si>
    <t>0.0%*</t>
  </si>
  <si>
    <t>442*</t>
  </si>
  <si>
    <t>7,203*</t>
  </si>
  <si>
    <t>2.0%*</t>
  </si>
  <si>
    <t>31.8%*</t>
  </si>
  <si>
    <t>11.6%*</t>
  </si>
  <si>
    <t>120*</t>
  </si>
  <si>
    <t>108*</t>
  </si>
  <si>
    <t>355*</t>
  </si>
  <si>
    <t>20.6%*</t>
  </si>
  <si>
    <t>60.9%*</t>
  </si>
  <si>
    <t>40.0%*</t>
  </si>
  <si>
    <t>20.0%*</t>
  </si>
  <si>
    <t>14.3%*</t>
  </si>
  <si>
    <t>71.4%*</t>
  </si>
  <si>
    <t>Lookup</t>
  </si>
  <si>
    <t>SCG</t>
  </si>
  <si>
    <t>Population Weighted by IOU</t>
  </si>
  <si>
    <t>Usage Per Cycle</t>
  </si>
  <si>
    <t>Total Water (gal)</t>
  </si>
  <si>
    <t>HVAC Interactive Effects for PG&amp;E, SCE, and SDG&amp;E</t>
  </si>
  <si>
    <t>Source: DEER2014 Lighting Measures HVAC Interactive Effects, 17Feb2014</t>
  </si>
  <si>
    <t>DEER2014: CFL Lighting Energy Impacts for Pacific Gas &amp; Electric</t>
  </si>
  <si>
    <t>DEER2014: CFL Lighting Energy Impacts for Southern California Edison</t>
  </si>
  <si>
    <t>DEER2014: CFL Lighting Energy Impacts for San Diego Gas &amp; Electric</t>
  </si>
  <si>
    <t>Occupancy sensor scenario: No occupancy sensors</t>
  </si>
  <si>
    <t>Independent Values</t>
  </si>
  <si>
    <t>Pre-Existing</t>
  </si>
  <si>
    <t>HVAC Interactive Effects Factors</t>
  </si>
  <si>
    <t>Climate</t>
  </si>
  <si>
    <r>
      <t>HOU</t>
    </r>
    <r>
      <rPr>
        <vertAlign val="subscript"/>
        <sz val="11"/>
        <color theme="1"/>
        <rFont val="Calibri"/>
        <family val="2"/>
        <scheme val="minor"/>
      </rPr>
      <t>pre</t>
    </r>
  </si>
  <si>
    <r>
      <t>CDF</t>
    </r>
    <r>
      <rPr>
        <vertAlign val="subscript"/>
        <sz val="11"/>
        <color theme="1"/>
        <rFont val="Calibri"/>
        <family val="2"/>
        <scheme val="minor"/>
      </rPr>
      <t>pre</t>
    </r>
  </si>
  <si>
    <r>
      <t>HOU</t>
    </r>
    <r>
      <rPr>
        <vertAlign val="subscript"/>
        <sz val="11"/>
        <color theme="1"/>
        <rFont val="Calibri"/>
        <family val="2"/>
        <scheme val="minor"/>
      </rPr>
      <t>std</t>
    </r>
  </si>
  <si>
    <r>
      <t>CDF</t>
    </r>
    <r>
      <rPr>
        <vertAlign val="subscript"/>
        <sz val="11"/>
        <color theme="1"/>
        <rFont val="Calibri"/>
        <family val="2"/>
        <scheme val="minor"/>
      </rPr>
      <t>std</t>
    </r>
  </si>
  <si>
    <t>Above Pre-Existing</t>
  </si>
  <si>
    <t>Above Code/Standard</t>
  </si>
  <si>
    <t>IOU</t>
  </si>
  <si>
    <t>Zone</t>
  </si>
  <si>
    <t>hours</t>
  </si>
  <si>
    <t>SDG</t>
  </si>
  <si>
    <t>SDG&amp;E HVAC Factors</t>
  </si>
  <si>
    <t>Small Office (MFM common area, commercial)</t>
  </si>
  <si>
    <t>SCG Residential Clothes Washer Energy Savings (SFm/MFm In Unit and MFm Common Area)</t>
  </si>
  <si>
    <t>SDG&amp;E Residential Clothes Washer Energy Savings (SFm/MFm In Unit and MFm Common Area)</t>
  </si>
  <si>
    <t>Source: SCE Multifamily Field Study</t>
  </si>
  <si>
    <t>2014 DOE Com CW Technical Support Document - Ch 7, p. 7-6, http://www.regulations.gov/#!documentDetail;D=EERE-2012-BT-STD-0020-0036</t>
  </si>
  <si>
    <t>Source: SCE Multi-family Field Study</t>
  </si>
  <si>
    <t>Disposition Path</t>
  </si>
  <si>
    <t>Keep in use by participant</t>
  </si>
  <si>
    <t>Keep unused by participant</t>
  </si>
  <si>
    <t>Destroyed by discarder (non-viable units)</t>
  </si>
  <si>
    <t>Destroyed by discarder (viable units)</t>
  </si>
  <si>
    <t>Acquires similar unit</t>
  </si>
  <si>
    <t>Acquires new unit</t>
  </si>
  <si>
    <t>Acquires nothing</t>
  </si>
  <si>
    <t>Laundry loads not washed</t>
  </si>
  <si>
    <t>Laundry washed by another appliance</t>
  </si>
  <si>
    <t>Units in Path</t>
  </si>
  <si>
    <t>Transfers (retail &amp; peer-to-peer)</t>
  </si>
  <si>
    <t>- unknown -</t>
  </si>
  <si>
    <t>Workpaper</t>
  </si>
  <si>
    <t>Destroyed by secondary market actors (non-viable units)</t>
  </si>
  <si>
    <t>CEE Tier 1 (2007-2008)</t>
  </si>
  <si>
    <t>CEE Tier 2 (2007-2008)</t>
  </si>
  <si>
    <t>CEE Tier 3A (2006)</t>
  </si>
  <si>
    <t>NA</t>
  </si>
  <si>
    <t>CEE Tier 3B (2006)</t>
  </si>
  <si>
    <t>CEE Tier3 (2007-2008)</t>
  </si>
  <si>
    <t>Watery Heating Fuel Use per Cycle</t>
  </si>
  <si>
    <t>Dryer Fuel Usage per Cycle</t>
  </si>
  <si>
    <t>Minimum MEF</t>
  </si>
  <si>
    <t>- N/A -</t>
  </si>
  <si>
    <t>Clothes Washer Usage per Cycle</t>
  </si>
  <si>
    <t>Rated Use Top-Load</t>
  </si>
  <si>
    <t>Rated Use Front-Load</t>
  </si>
  <si>
    <t>Mimimum Compliant</t>
  </si>
  <si>
    <t>Res Retrofit Findings</t>
  </si>
  <si>
    <t>CEE Minimum</t>
  </si>
  <si>
    <t>Efficiency Class</t>
  </si>
  <si>
    <t>UEC Method</t>
  </si>
  <si>
    <t>Reference</t>
  </si>
  <si>
    <t>TSD-2 (Level 3)</t>
  </si>
  <si>
    <t>TSD-2 (Level 4)</t>
  </si>
  <si>
    <t>TSD-1 (Level 2)</t>
  </si>
  <si>
    <t>Eval (Table 39)</t>
  </si>
  <si>
    <t>References</t>
  </si>
  <si>
    <t xml:space="preserve">Eval: </t>
  </si>
  <si>
    <t xml:space="preserve">TSD-1: </t>
  </si>
  <si>
    <t xml:space="preserve">TSD-2: </t>
  </si>
  <si>
    <t>"Residential Retrofit High Impact Evaluation Report" prepared for The California Public Utilities Commission Energy Division, The Cadmus Group, Inc., February 2010</t>
  </si>
  <si>
    <t>"2012 Technical Support Document for Residential Clothes Washers," U.S. Department of Energy. See: "Chapter 7. Energy and Water Use Determination," Table 7.2.1</t>
  </si>
  <si>
    <t>"2012 Technical Support Document for Residential Clothes Washers," U.S. Department of Energy. See: "Chapter 7. Energy and Water Use Determination," Table 7.2.2</t>
  </si>
  <si>
    <t>Workpaper Assumption</t>
  </si>
  <si>
    <t>Hour</t>
  </si>
  <si>
    <t>Fraction</t>
  </si>
  <si>
    <t>CDF</t>
  </si>
  <si>
    <t>DEER Daily Clothes Washer Usage Profile</t>
  </si>
  <si>
    <t>Difference: EM&amp;V=&gt;DOE rating calculations</t>
  </si>
  <si>
    <t>DHW</t>
  </si>
  <si>
    <t>Washer</t>
  </si>
  <si>
    <t>Minimally Compliant Unit Assuming CEE Tier 3B (2006) adjustments</t>
  </si>
  <si>
    <t>UseSubcategory</t>
  </si>
  <si>
    <t>Common</t>
  </si>
  <si>
    <t>Case</t>
  </si>
  <si>
    <t>UEC Basis</t>
  </si>
  <si>
    <t>Water Heating Fuel</t>
  </si>
  <si>
    <t>Per Cycle End Use</t>
  </si>
  <si>
    <t>RASS Weights</t>
  </si>
  <si>
    <t>Elec</t>
  </si>
  <si>
    <t>Dryer Fuel</t>
  </si>
  <si>
    <t>SDGE</t>
  </si>
  <si>
    <t>Weighted Per Cycle End Use</t>
  </si>
  <si>
    <t>UEC per Cycle Calculations</t>
  </si>
  <si>
    <t>UES per Cycle Calculations</t>
  </si>
  <si>
    <t>EARAdj1</t>
  </si>
  <si>
    <t>Interactive Effects</t>
  </si>
  <si>
    <t>Cycles</t>
  </si>
  <si>
    <t>Direct kW</t>
  </si>
  <si>
    <t>Dryer Frac to IEF</t>
  </si>
  <si>
    <t>UES per Cycle</t>
  </si>
  <si>
    <t>Annual UES</t>
  </si>
  <si>
    <t>kW</t>
  </si>
  <si>
    <t>therm</t>
  </si>
  <si>
    <t>Using Workpaper Annual Cycles</t>
  </si>
  <si>
    <t>Using 75% of Workpaper Annual Cycles</t>
  </si>
  <si>
    <t>Using 50% of Workpaper Annual Cycles</t>
  </si>
  <si>
    <t>NoRepl</t>
  </si>
  <si>
    <t>No Replacement</t>
  </si>
  <si>
    <t>Acquire Similar</t>
  </si>
  <si>
    <t>Acquire New</t>
  </si>
  <si>
    <t>none</t>
  </si>
  <si>
    <t>Measure Case</t>
  </si>
  <si>
    <t>UEC Adjustment</t>
  </si>
  <si>
    <t>Residential UES Summary</t>
  </si>
  <si>
    <t>1095 Annual Cycles</t>
  </si>
  <si>
    <t>821 Annual Cycles</t>
  </si>
  <si>
    <t>548 Annual Cycles</t>
  </si>
  <si>
    <t>Laundry washed elsewhere</t>
  </si>
  <si>
    <t>Option 1 Workpaper Assumptions</t>
  </si>
  <si>
    <t>EAR Measure UEC Adjustment #1</t>
  </si>
  <si>
    <t>Residential Dwelling Unit Options - kWh Savings</t>
  </si>
  <si>
    <t>Fraction Workpaper</t>
  </si>
  <si>
    <t>Workpaper (Case 1) Disposition Path Fractions</t>
  </si>
  <si>
    <t>Proposed Workpaper Savings:</t>
  </si>
  <si>
    <t>Common Multifamily UES Summary</t>
  </si>
  <si>
    <t>Multifamily Common Laundry Options - kWh Savings</t>
  </si>
  <si>
    <t>Residential Dwelling Unit Options - kW Savings</t>
  </si>
  <si>
    <t>Residential Dwelling Unit Options - therm Savings</t>
  </si>
  <si>
    <t>Multifamily Common Laundry Options - kW Savings</t>
  </si>
  <si>
    <t>Multifamily Common Laundry Options - therm Savings</t>
  </si>
  <si>
    <t>Property Name</t>
  </si>
  <si>
    <t># Washers</t>
  </si>
  <si>
    <t>Total Usage (Minutes)</t>
  </si>
  <si>
    <t>Peak Time Usage (Minutes)</t>
  </si>
  <si>
    <t>Total Cyles</t>
  </si>
  <si>
    <t>Total Peak Time Cycles</t>
  </si>
  <si>
    <t>Average Minutes/Cyle</t>
  </si>
  <si>
    <t>Peak Cycles %</t>
  </si>
  <si>
    <t>HOBO Logger #</t>
  </si>
  <si>
    <t>Highland Manor</t>
  </si>
  <si>
    <t>Compton-Seasons Building</t>
  </si>
  <si>
    <t>ROWLAND HEIGHTS APTS.</t>
  </si>
  <si>
    <t>Flower Terrace</t>
  </si>
  <si>
    <t>1311 19th st Santa Monica</t>
  </si>
  <si>
    <t>Lutheran Gardens</t>
  </si>
  <si>
    <t>N/A</t>
  </si>
  <si>
    <t>Using RASS Single Family Annual Cycles</t>
  </si>
  <si>
    <t>Residential Dwelling Unit Options - NTG</t>
  </si>
  <si>
    <t>Multifamily Common Laundry Options - NTG</t>
  </si>
  <si>
    <t>295 Annual Cycles</t>
  </si>
  <si>
    <t>269 Annual Cycles</t>
  </si>
  <si>
    <t>243 Annual Cycles</t>
  </si>
  <si>
    <t>Using 243 Annual Cycles</t>
  </si>
  <si>
    <t>Counterfactual Fraction</t>
  </si>
  <si>
    <t>EAR Team Alternatives</t>
  </si>
  <si>
    <t>Option 1</t>
  </si>
  <si>
    <t>Option 2</t>
  </si>
  <si>
    <t>Free Rider Flag</t>
  </si>
  <si>
    <t>Workpaper Counterfactual Fraction</t>
  </si>
  <si>
    <t>Gross UES</t>
  </si>
  <si>
    <t>% of WP</t>
  </si>
  <si>
    <t>Net UES</t>
  </si>
  <si>
    <t>EAR Team Option 1 Counterfactual Fraction</t>
  </si>
  <si>
    <t>EAR Team Option 2 Counterfactual Fraction</t>
  </si>
  <si>
    <t>Work-paper</t>
  </si>
  <si>
    <t>Building America Daily Clothes Washer Usage Profile (Multi family common)</t>
  </si>
  <si>
    <t>Description</t>
  </si>
  <si>
    <t>EARTeamReviewAlts</t>
  </si>
  <si>
    <t>Detailed PA level savings calculations for clothes washers in individual residences</t>
  </si>
  <si>
    <t>EARTeamUECandUESCalcs</t>
  </si>
  <si>
    <t>Calculation of UEC and UES values for clothes washers considering revisions to annual cycles, coincident demand factor and interactive effects</t>
  </si>
  <si>
    <t>SCE MFAM Laundry Field Research</t>
  </si>
  <si>
    <t>Copy of field data from SCE multi family laundry study used to calculate the workpaper proposed coincident demand factor</t>
  </si>
  <si>
    <t>EARTeamReviewBackup</t>
  </si>
  <si>
    <t>Development of tables and graphics used in the disposition document</t>
  </si>
  <si>
    <t>EARTeamReviewAltsMFAM</t>
  </si>
  <si>
    <t>Detailed PA level savings calculations for clothes washers in mulitfamily common areas (NOTE: multifamily common area savings are not approved at this time)</t>
  </si>
  <si>
    <t>EAR Team Assumption</t>
  </si>
  <si>
    <t>CPUC staff approved values are highlighted.</t>
  </si>
  <si>
    <t>Worksheets added by EAR team:</t>
  </si>
  <si>
    <t>Worksheet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</si>
</sst>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#,##0.0"/>
    <numFmt numFmtId="166" formatCode="&quot;$&quot;#,##0.00"/>
    <numFmt numFmtId="167" formatCode="00"/>
    <numFmt numFmtId="168" formatCode="_(* #,##0_);_(* \(#,##0\);_(* &quot;-&quot;??_);_(@_)"/>
    <numFmt numFmtId="169" formatCode="&quot;$&quot;#,##0"/>
    <numFmt numFmtId="170" formatCode="0.0000"/>
    <numFmt numFmtId="171" formatCode="0.000"/>
    <numFmt numFmtId="172" formatCode="0.000000"/>
    <numFmt numFmtId="173" formatCode="#,##0.000"/>
    <numFmt numFmtId="174" formatCode="[$-409]mmmm\-yy;@"/>
    <numFmt numFmtId="175" formatCode="0.0%"/>
  </numFmts>
  <fonts count="8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1"/>
      <color rgb="FF0000FF"/>
      <name val="Calibri"/>
      <family val="2"/>
      <scheme val="minor"/>
    </font>
    <font>
      <b/>
      <sz val="8"/>
      <color theme="1"/>
      <name val="Arial"/>
      <family val="2"/>
    </font>
    <font>
      <u/>
      <sz val="10"/>
      <color theme="10"/>
      <name val="Arial"/>
      <family val="2"/>
    </font>
    <font>
      <b/>
      <sz val="10"/>
      <color rgb="FFFFFFFF"/>
      <name val="Arial"/>
      <family val="2"/>
    </font>
    <font>
      <sz val="10"/>
      <color rgb="FFFF0000"/>
      <name val="Arial"/>
      <family val="2"/>
    </font>
    <font>
      <i/>
      <sz val="11"/>
      <color indexed="23"/>
      <name val="Calibri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name val="돋움"/>
      <family val="3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b/>
      <sz val="12"/>
      <color theme="1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i/>
      <sz val="11"/>
      <color rgb="FF0070C0"/>
      <name val="Calibri"/>
      <family val="2"/>
    </font>
    <font>
      <vertAlign val="subscript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5DEB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</fills>
  <borders count="18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rgb="FF000000"/>
      </left>
      <right style="medium">
        <color rgb="FF808080"/>
      </right>
      <top style="thin">
        <color rgb="FF00000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thin">
        <color rgb="FF000000"/>
      </top>
      <bottom style="medium">
        <color rgb="FF808080"/>
      </bottom>
      <diagonal/>
    </border>
    <border>
      <left style="medium">
        <color rgb="FF808080"/>
      </left>
      <right style="thin">
        <color rgb="FF000000"/>
      </right>
      <top style="thin">
        <color rgb="FF000000"/>
      </top>
      <bottom style="medium">
        <color rgb="FF808080"/>
      </bottom>
      <diagonal/>
    </border>
    <border>
      <left style="thin">
        <color rgb="FF00000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thin">
        <color rgb="FF000000"/>
      </right>
      <top style="medium">
        <color rgb="FF808080"/>
      </top>
      <bottom style="medium">
        <color rgb="FF808080"/>
      </bottom>
      <diagonal/>
    </border>
    <border>
      <left style="thin">
        <color rgb="FF000000"/>
      </left>
      <right style="medium">
        <color rgb="FF808080"/>
      </right>
      <top style="medium">
        <color rgb="FF808080"/>
      </top>
      <bottom style="thin">
        <color rgb="FF00000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thin">
        <color rgb="FF000000"/>
      </bottom>
      <diagonal/>
    </border>
    <border>
      <left style="medium">
        <color rgb="FF808080"/>
      </left>
      <right style="thin">
        <color rgb="FF000000"/>
      </right>
      <top style="medium">
        <color rgb="FF80808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808080"/>
      </right>
      <top style="thin">
        <color rgb="FF000000"/>
      </top>
      <bottom style="thin">
        <color rgb="FF000000"/>
      </bottom>
      <diagonal/>
    </border>
    <border>
      <left style="medium">
        <color rgb="FF808080"/>
      </left>
      <right style="medium">
        <color rgb="FF808080"/>
      </right>
      <top style="thin">
        <color rgb="FF000000"/>
      </top>
      <bottom style="thin">
        <color rgb="FF000000"/>
      </bottom>
      <diagonal/>
    </border>
    <border>
      <left style="medium">
        <color rgb="FF80808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thin">
        <color rgb="FF000000"/>
      </right>
      <top/>
      <bottom style="medium">
        <color rgb="FF808080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auto="1"/>
      </bottom>
      <diagonal/>
    </border>
    <border>
      <left/>
      <right/>
      <top style="double">
        <color indexed="64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indexed="64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double">
        <color indexed="64"/>
      </bottom>
      <diagonal/>
    </border>
    <border>
      <left/>
      <right/>
      <top style="hair">
        <color auto="1"/>
      </top>
      <bottom style="double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indexed="64"/>
      </top>
      <bottom/>
      <diagonal/>
    </border>
  </borders>
  <cellStyleXfs count="424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31" fillId="0" borderId="0" applyNumberFormat="0" applyFill="0" applyBorder="0" applyAlignment="0" applyProtection="0"/>
    <xf numFmtId="0" fontId="24" fillId="0" borderId="0"/>
    <xf numFmtId="0" fontId="34" fillId="0" borderId="0" applyNumberFormat="0" applyFill="0" applyBorder="0" applyAlignment="0" applyProtection="0"/>
    <xf numFmtId="0" fontId="1" fillId="0" borderId="0"/>
    <xf numFmtId="9" fontId="1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40" fillId="0" borderId="0"/>
    <xf numFmtId="43" fontId="19" fillId="0" borderId="0" applyFont="0" applyFill="0" applyBorder="0" applyAlignment="0" applyProtection="0"/>
    <xf numFmtId="0" fontId="19" fillId="0" borderId="0"/>
    <xf numFmtId="0" fontId="24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47" fillId="46" borderId="0" applyNumberFormat="0" applyBorder="0" applyAlignment="0" applyProtection="0"/>
    <xf numFmtId="0" fontId="47" fillId="47" borderId="0" applyNumberFormat="0" applyBorder="0" applyAlignment="0" applyProtection="0"/>
    <xf numFmtId="0" fontId="47" fillId="48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0" fontId="47" fillId="49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8" fillId="56" borderId="0" applyNumberFormat="0" applyBorder="0" applyAlignment="0" applyProtection="0"/>
    <xf numFmtId="0" fontId="48" fillId="53" borderId="0" applyNumberFormat="0" applyBorder="0" applyAlignment="0" applyProtection="0"/>
    <xf numFmtId="0" fontId="48" fillId="54" borderId="0" applyNumberFormat="0" applyBorder="0" applyAlignment="0" applyProtection="0"/>
    <xf numFmtId="0" fontId="48" fillId="57" borderId="0" applyNumberFormat="0" applyBorder="0" applyAlignment="0" applyProtection="0"/>
    <xf numFmtId="0" fontId="48" fillId="58" borderId="0" applyNumberFormat="0" applyBorder="0" applyAlignment="0" applyProtection="0"/>
    <xf numFmtId="0" fontId="48" fillId="59" borderId="0" applyNumberFormat="0" applyBorder="0" applyAlignment="0" applyProtection="0"/>
    <xf numFmtId="0" fontId="48" fillId="60" borderId="0" applyNumberFormat="0" applyBorder="0" applyAlignment="0" applyProtection="0"/>
    <xf numFmtId="0" fontId="48" fillId="61" borderId="0" applyNumberFormat="0" applyBorder="0" applyAlignment="0" applyProtection="0"/>
    <xf numFmtId="0" fontId="48" fillId="62" borderId="0" applyNumberFormat="0" applyBorder="0" applyAlignment="0" applyProtection="0"/>
    <xf numFmtId="0" fontId="48" fillId="57" borderId="0" applyNumberFormat="0" applyBorder="0" applyAlignment="0" applyProtection="0"/>
    <xf numFmtId="0" fontId="48" fillId="58" borderId="0" applyNumberFormat="0" applyBorder="0" applyAlignment="0" applyProtection="0"/>
    <xf numFmtId="0" fontId="48" fillId="63" borderId="0" applyNumberFormat="0" applyBorder="0" applyAlignment="0" applyProtection="0"/>
    <xf numFmtId="0" fontId="49" fillId="47" borderId="0" applyNumberFormat="0" applyBorder="0" applyAlignment="0" applyProtection="0"/>
    <xf numFmtId="0" fontId="50" fillId="64" borderId="86" applyNumberFormat="0" applyAlignment="0" applyProtection="0"/>
    <xf numFmtId="0" fontId="51" fillId="65" borderId="87" applyNumberFormat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52" fillId="48" borderId="0" applyNumberFormat="0" applyBorder="0" applyAlignment="0" applyProtection="0"/>
    <xf numFmtId="0" fontId="53" fillId="0" borderId="88" applyNumberFormat="0" applyFill="0" applyAlignment="0" applyProtection="0"/>
    <xf numFmtId="0" fontId="54" fillId="0" borderId="89" applyNumberFormat="0" applyFill="0" applyAlignment="0" applyProtection="0"/>
    <xf numFmtId="0" fontId="55" fillId="0" borderId="90" applyNumberFormat="0" applyFill="0" applyAlignment="0" applyProtection="0"/>
    <xf numFmtId="0" fontId="55" fillId="0" borderId="0" applyNumberFormat="0" applyFill="0" applyBorder="0" applyAlignment="0" applyProtection="0"/>
    <xf numFmtId="0" fontId="56" fillId="51" borderId="86" applyNumberFormat="0" applyAlignment="0" applyProtection="0"/>
    <xf numFmtId="0" fontId="57" fillId="0" borderId="91" applyNumberFormat="0" applyFill="0" applyAlignment="0" applyProtection="0"/>
    <xf numFmtId="0" fontId="58" fillId="66" borderId="0" applyNumberFormat="0" applyBorder="0" applyAlignment="0" applyProtection="0"/>
    <xf numFmtId="0" fontId="19" fillId="0" borderId="0"/>
    <xf numFmtId="0" fontId="59" fillId="0" borderId="0">
      <alignment vertical="center"/>
    </xf>
    <xf numFmtId="0" fontId="19" fillId="0" borderId="0"/>
    <xf numFmtId="0" fontId="59" fillId="0" borderId="0">
      <alignment vertical="center"/>
    </xf>
    <xf numFmtId="0" fontId="19" fillId="0" borderId="0"/>
    <xf numFmtId="0" fontId="59" fillId="0" borderId="0">
      <alignment vertical="center"/>
    </xf>
    <xf numFmtId="0" fontId="19" fillId="0" borderId="0"/>
    <xf numFmtId="0" fontId="59" fillId="0" borderId="0">
      <alignment vertical="center"/>
    </xf>
    <xf numFmtId="0" fontId="19" fillId="0" borderId="0"/>
    <xf numFmtId="0" fontId="59" fillId="0" borderId="0">
      <alignment vertical="center"/>
    </xf>
    <xf numFmtId="0" fontId="19" fillId="0" borderId="0"/>
    <xf numFmtId="0" fontId="59" fillId="0" borderId="0">
      <alignment vertical="center"/>
    </xf>
    <xf numFmtId="0" fontId="59" fillId="0" borderId="0">
      <alignment vertical="center"/>
    </xf>
    <xf numFmtId="0" fontId="19" fillId="0" borderId="0"/>
    <xf numFmtId="0" fontId="19" fillId="0" borderId="0" applyNumberFormat="0" applyFill="0" applyBorder="0" applyAlignment="0" applyProtection="0"/>
    <xf numFmtId="0" fontId="19" fillId="0" borderId="0"/>
    <xf numFmtId="0" fontId="19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 applyNumberFormat="0" applyFill="0" applyBorder="0" applyAlignment="0" applyProtection="0"/>
    <xf numFmtId="0" fontId="59" fillId="0" borderId="0">
      <alignment vertical="center"/>
    </xf>
    <xf numFmtId="0" fontId="19" fillId="0" borderId="0"/>
    <xf numFmtId="0" fontId="4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59" fillId="0" borderId="0">
      <alignment vertical="center"/>
    </xf>
    <xf numFmtId="0" fontId="19" fillId="0" borderId="0"/>
    <xf numFmtId="0" fontId="19" fillId="67" borderId="92" applyNumberFormat="0" applyFont="0" applyAlignment="0" applyProtection="0"/>
    <xf numFmtId="0" fontId="60" fillId="64" borderId="93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94" applyNumberFormat="0" applyFill="0" applyAlignment="0" applyProtection="0"/>
    <xf numFmtId="0" fontId="63" fillId="0" borderId="0" applyNumberFormat="0" applyFill="0" applyBorder="0" applyAlignment="0" applyProtection="0"/>
    <xf numFmtId="174" fontId="47" fillId="46" borderId="0" applyNumberFormat="0" applyBorder="0" applyAlignment="0" applyProtection="0"/>
    <xf numFmtId="0" fontId="24" fillId="10" borderId="0" applyNumberFormat="0" applyBorder="0" applyAlignment="0" applyProtection="0"/>
    <xf numFmtId="174" fontId="47" fillId="46" borderId="0" applyNumberFormat="0" applyBorder="0" applyAlignment="0" applyProtection="0"/>
    <xf numFmtId="174" fontId="47" fillId="47" borderId="0" applyNumberFormat="0" applyBorder="0" applyAlignment="0" applyProtection="0"/>
    <xf numFmtId="0" fontId="24" fillId="14" borderId="0" applyNumberFormat="0" applyBorder="0" applyAlignment="0" applyProtection="0"/>
    <xf numFmtId="174" fontId="47" fillId="47" borderId="0" applyNumberFormat="0" applyBorder="0" applyAlignment="0" applyProtection="0"/>
    <xf numFmtId="174" fontId="47" fillId="48" borderId="0" applyNumberFormat="0" applyBorder="0" applyAlignment="0" applyProtection="0"/>
    <xf numFmtId="0" fontId="24" fillId="18" borderId="0" applyNumberFormat="0" applyBorder="0" applyAlignment="0" applyProtection="0"/>
    <xf numFmtId="174" fontId="47" fillId="48" borderId="0" applyNumberFormat="0" applyBorder="0" applyAlignment="0" applyProtection="0"/>
    <xf numFmtId="174" fontId="47" fillId="49" borderId="0" applyNumberFormat="0" applyBorder="0" applyAlignment="0" applyProtection="0"/>
    <xf numFmtId="0" fontId="24" fillId="22" borderId="0" applyNumberFormat="0" applyBorder="0" applyAlignment="0" applyProtection="0"/>
    <xf numFmtId="174" fontId="47" fillId="49" borderId="0" applyNumberFormat="0" applyBorder="0" applyAlignment="0" applyProtection="0"/>
    <xf numFmtId="174" fontId="47" fillId="50" borderId="0" applyNumberFormat="0" applyBorder="0" applyAlignment="0" applyProtection="0"/>
    <xf numFmtId="0" fontId="24" fillId="26" borderId="0" applyNumberFormat="0" applyBorder="0" applyAlignment="0" applyProtection="0"/>
    <xf numFmtId="174" fontId="47" fillId="50" borderId="0" applyNumberFormat="0" applyBorder="0" applyAlignment="0" applyProtection="0"/>
    <xf numFmtId="174" fontId="47" fillId="51" borderId="0" applyNumberFormat="0" applyBorder="0" applyAlignment="0" applyProtection="0"/>
    <xf numFmtId="0" fontId="24" fillId="30" borderId="0" applyNumberFormat="0" applyBorder="0" applyAlignment="0" applyProtection="0"/>
    <xf numFmtId="174" fontId="47" fillId="51" borderId="0" applyNumberFormat="0" applyBorder="0" applyAlignment="0" applyProtection="0"/>
    <xf numFmtId="174" fontId="47" fillId="52" borderId="0" applyNumberFormat="0" applyBorder="0" applyAlignment="0" applyProtection="0"/>
    <xf numFmtId="0" fontId="24" fillId="11" borderId="0" applyNumberFormat="0" applyBorder="0" applyAlignment="0" applyProtection="0"/>
    <xf numFmtId="174" fontId="47" fillId="52" borderId="0" applyNumberFormat="0" applyBorder="0" applyAlignment="0" applyProtection="0"/>
    <xf numFmtId="174" fontId="47" fillId="53" borderId="0" applyNumberFormat="0" applyBorder="0" applyAlignment="0" applyProtection="0"/>
    <xf numFmtId="0" fontId="24" fillId="15" borderId="0" applyNumberFormat="0" applyBorder="0" applyAlignment="0" applyProtection="0"/>
    <xf numFmtId="174" fontId="47" fillId="53" borderId="0" applyNumberFormat="0" applyBorder="0" applyAlignment="0" applyProtection="0"/>
    <xf numFmtId="174" fontId="47" fillId="54" borderId="0" applyNumberFormat="0" applyBorder="0" applyAlignment="0" applyProtection="0"/>
    <xf numFmtId="0" fontId="24" fillId="19" borderId="0" applyNumberFormat="0" applyBorder="0" applyAlignment="0" applyProtection="0"/>
    <xf numFmtId="174" fontId="47" fillId="54" borderId="0" applyNumberFormat="0" applyBorder="0" applyAlignment="0" applyProtection="0"/>
    <xf numFmtId="174" fontId="47" fillId="49" borderId="0" applyNumberFormat="0" applyBorder="0" applyAlignment="0" applyProtection="0"/>
    <xf numFmtId="0" fontId="24" fillId="23" borderId="0" applyNumberFormat="0" applyBorder="0" applyAlignment="0" applyProtection="0"/>
    <xf numFmtId="174" fontId="47" fillId="49" borderId="0" applyNumberFormat="0" applyBorder="0" applyAlignment="0" applyProtection="0"/>
    <xf numFmtId="174" fontId="47" fillId="52" borderId="0" applyNumberFormat="0" applyBorder="0" applyAlignment="0" applyProtection="0"/>
    <xf numFmtId="0" fontId="24" fillId="27" borderId="0" applyNumberFormat="0" applyBorder="0" applyAlignment="0" applyProtection="0"/>
    <xf numFmtId="174" fontId="47" fillId="52" borderId="0" applyNumberFormat="0" applyBorder="0" applyAlignment="0" applyProtection="0"/>
    <xf numFmtId="174" fontId="47" fillId="55" borderId="0" applyNumberFormat="0" applyBorder="0" applyAlignment="0" applyProtection="0"/>
    <xf numFmtId="0" fontId="24" fillId="31" borderId="0" applyNumberFormat="0" applyBorder="0" applyAlignment="0" applyProtection="0"/>
    <xf numFmtId="174" fontId="47" fillId="55" borderId="0" applyNumberFormat="0" applyBorder="0" applyAlignment="0" applyProtection="0"/>
    <xf numFmtId="174" fontId="48" fillId="56" borderId="0" applyNumberFormat="0" applyBorder="0" applyAlignment="0" applyProtection="0"/>
    <xf numFmtId="0" fontId="67" fillId="12" borderId="0" applyNumberFormat="0" applyBorder="0" applyAlignment="0" applyProtection="0"/>
    <xf numFmtId="174" fontId="48" fillId="56" borderId="0" applyNumberFormat="0" applyBorder="0" applyAlignment="0" applyProtection="0"/>
    <xf numFmtId="174" fontId="48" fillId="53" borderId="0" applyNumberFormat="0" applyBorder="0" applyAlignment="0" applyProtection="0"/>
    <xf numFmtId="0" fontId="67" fillId="16" borderId="0" applyNumberFormat="0" applyBorder="0" applyAlignment="0" applyProtection="0"/>
    <xf numFmtId="174" fontId="48" fillId="53" borderId="0" applyNumberFormat="0" applyBorder="0" applyAlignment="0" applyProtection="0"/>
    <xf numFmtId="174" fontId="48" fillId="54" borderId="0" applyNumberFormat="0" applyBorder="0" applyAlignment="0" applyProtection="0"/>
    <xf numFmtId="0" fontId="67" fillId="20" borderId="0" applyNumberFormat="0" applyBorder="0" applyAlignment="0" applyProtection="0"/>
    <xf numFmtId="174" fontId="48" fillId="54" borderId="0" applyNumberFormat="0" applyBorder="0" applyAlignment="0" applyProtection="0"/>
    <xf numFmtId="174" fontId="48" fillId="57" borderId="0" applyNumberFormat="0" applyBorder="0" applyAlignment="0" applyProtection="0"/>
    <xf numFmtId="0" fontId="67" fillId="24" borderId="0" applyNumberFormat="0" applyBorder="0" applyAlignment="0" applyProtection="0"/>
    <xf numFmtId="174" fontId="48" fillId="57" borderId="0" applyNumberFormat="0" applyBorder="0" applyAlignment="0" applyProtection="0"/>
    <xf numFmtId="174" fontId="48" fillId="58" borderId="0" applyNumberFormat="0" applyBorder="0" applyAlignment="0" applyProtection="0"/>
    <xf numFmtId="0" fontId="67" fillId="28" borderId="0" applyNumberFormat="0" applyBorder="0" applyAlignment="0" applyProtection="0"/>
    <xf numFmtId="174" fontId="48" fillId="58" borderId="0" applyNumberFormat="0" applyBorder="0" applyAlignment="0" applyProtection="0"/>
    <xf numFmtId="174" fontId="48" fillId="59" borderId="0" applyNumberFormat="0" applyBorder="0" applyAlignment="0" applyProtection="0"/>
    <xf numFmtId="0" fontId="67" fillId="32" borderId="0" applyNumberFormat="0" applyBorder="0" applyAlignment="0" applyProtection="0"/>
    <xf numFmtId="174" fontId="48" fillId="59" borderId="0" applyNumberFormat="0" applyBorder="0" applyAlignment="0" applyProtection="0"/>
    <xf numFmtId="174" fontId="48" fillId="60" borderId="0" applyNumberFormat="0" applyBorder="0" applyAlignment="0" applyProtection="0"/>
    <xf numFmtId="0" fontId="67" fillId="9" borderId="0" applyNumberFormat="0" applyBorder="0" applyAlignment="0" applyProtection="0"/>
    <xf numFmtId="174" fontId="48" fillId="60" borderId="0" applyNumberFormat="0" applyBorder="0" applyAlignment="0" applyProtection="0"/>
    <xf numFmtId="174" fontId="48" fillId="61" borderId="0" applyNumberFormat="0" applyBorder="0" applyAlignment="0" applyProtection="0"/>
    <xf numFmtId="0" fontId="67" fillId="13" borderId="0" applyNumberFormat="0" applyBorder="0" applyAlignment="0" applyProtection="0"/>
    <xf numFmtId="174" fontId="48" fillId="61" borderId="0" applyNumberFormat="0" applyBorder="0" applyAlignment="0" applyProtection="0"/>
    <xf numFmtId="174" fontId="48" fillId="62" borderId="0" applyNumberFormat="0" applyBorder="0" applyAlignment="0" applyProtection="0"/>
    <xf numFmtId="0" fontId="67" fillId="17" borderId="0" applyNumberFormat="0" applyBorder="0" applyAlignment="0" applyProtection="0"/>
    <xf numFmtId="174" fontId="48" fillId="62" borderId="0" applyNumberFormat="0" applyBorder="0" applyAlignment="0" applyProtection="0"/>
    <xf numFmtId="174" fontId="48" fillId="57" borderId="0" applyNumberFormat="0" applyBorder="0" applyAlignment="0" applyProtection="0"/>
    <xf numFmtId="0" fontId="67" fillId="21" borderId="0" applyNumberFormat="0" applyBorder="0" applyAlignment="0" applyProtection="0"/>
    <xf numFmtId="174" fontId="48" fillId="57" borderId="0" applyNumberFormat="0" applyBorder="0" applyAlignment="0" applyProtection="0"/>
    <xf numFmtId="174" fontId="48" fillId="58" borderId="0" applyNumberFormat="0" applyBorder="0" applyAlignment="0" applyProtection="0"/>
    <xf numFmtId="0" fontId="67" fillId="25" borderId="0" applyNumberFormat="0" applyBorder="0" applyAlignment="0" applyProtection="0"/>
    <xf numFmtId="174" fontId="48" fillId="58" borderId="0" applyNumberFormat="0" applyBorder="0" applyAlignment="0" applyProtection="0"/>
    <xf numFmtId="174" fontId="48" fillId="63" borderId="0" applyNumberFormat="0" applyBorder="0" applyAlignment="0" applyProtection="0"/>
    <xf numFmtId="0" fontId="67" fillId="29" borderId="0" applyNumberFormat="0" applyBorder="0" applyAlignment="0" applyProtection="0"/>
    <xf numFmtId="174" fontId="48" fillId="63" borderId="0" applyNumberFormat="0" applyBorder="0" applyAlignment="0" applyProtection="0"/>
    <xf numFmtId="174" fontId="49" fillId="47" borderId="0" applyNumberFormat="0" applyBorder="0" applyAlignment="0" applyProtection="0"/>
    <xf numFmtId="0" fontId="68" fillId="3" borderId="0" applyNumberFormat="0" applyBorder="0" applyAlignment="0" applyProtection="0"/>
    <xf numFmtId="174" fontId="49" fillId="47" borderId="0" applyNumberFormat="0" applyBorder="0" applyAlignment="0" applyProtection="0"/>
    <xf numFmtId="174" fontId="50" fillId="64" borderId="86" applyNumberFormat="0" applyAlignment="0" applyProtection="0"/>
    <xf numFmtId="0" fontId="69" fillId="6" borderId="4" applyNumberFormat="0" applyAlignment="0" applyProtection="0"/>
    <xf numFmtId="174" fontId="50" fillId="64" borderId="86" applyNumberFormat="0" applyAlignment="0" applyProtection="0"/>
    <xf numFmtId="174" fontId="51" fillId="65" borderId="87" applyNumberFormat="0" applyAlignment="0" applyProtection="0"/>
    <xf numFmtId="0" fontId="70" fillId="7" borderId="7" applyNumberFormat="0" applyAlignment="0" applyProtection="0"/>
    <xf numFmtId="174" fontId="51" fillId="65" borderId="87" applyNumberFormat="0" applyAlignment="0" applyProtection="0"/>
    <xf numFmtId="43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19" fillId="0" borderId="0" applyFont="0" applyFill="0" applyBorder="0" applyAlignment="0" applyProtection="0"/>
    <xf numFmtId="174" fontId="34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74" fontId="15" fillId="0" borderId="0" applyNumberFormat="0" applyFill="0" applyBorder="0" applyAlignment="0" applyProtection="0"/>
    <xf numFmtId="174" fontId="34" fillId="0" borderId="0" applyNumberFormat="0" applyFill="0" applyBorder="0" applyAlignment="0" applyProtection="0"/>
    <xf numFmtId="174" fontId="52" fillId="48" borderId="0" applyNumberFormat="0" applyBorder="0" applyAlignment="0" applyProtection="0"/>
    <xf numFmtId="0" fontId="72" fillId="2" borderId="0" applyNumberFormat="0" applyBorder="0" applyAlignment="0" applyProtection="0"/>
    <xf numFmtId="174" fontId="52" fillId="48" borderId="0" applyNumberFormat="0" applyBorder="0" applyAlignment="0" applyProtection="0"/>
    <xf numFmtId="174" fontId="53" fillId="0" borderId="88" applyNumberFormat="0" applyFill="0" applyAlignment="0" applyProtection="0"/>
    <xf numFmtId="0" fontId="73" fillId="0" borderId="1" applyNumberFormat="0" applyFill="0" applyAlignment="0" applyProtection="0"/>
    <xf numFmtId="174" fontId="53" fillId="0" borderId="88" applyNumberFormat="0" applyFill="0" applyAlignment="0" applyProtection="0"/>
    <xf numFmtId="174" fontId="54" fillId="0" borderId="89" applyNumberFormat="0" applyFill="0" applyAlignment="0" applyProtection="0"/>
    <xf numFmtId="0" fontId="74" fillId="0" borderId="2" applyNumberFormat="0" applyFill="0" applyAlignment="0" applyProtection="0"/>
    <xf numFmtId="174" fontId="54" fillId="0" borderId="89" applyNumberFormat="0" applyFill="0" applyAlignment="0" applyProtection="0"/>
    <xf numFmtId="174" fontId="55" fillId="0" borderId="90" applyNumberFormat="0" applyFill="0" applyAlignment="0" applyProtection="0"/>
    <xf numFmtId="0" fontId="75" fillId="0" borderId="3" applyNumberFormat="0" applyFill="0" applyAlignment="0" applyProtection="0"/>
    <xf numFmtId="174" fontId="55" fillId="0" borderId="90" applyNumberFormat="0" applyFill="0" applyAlignment="0" applyProtection="0"/>
    <xf numFmtId="174" fontId="5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74" fontId="55" fillId="0" borderId="0" applyNumberFormat="0" applyFill="0" applyBorder="0" applyAlignment="0" applyProtection="0"/>
    <xf numFmtId="174" fontId="56" fillId="51" borderId="86" applyNumberFormat="0" applyAlignment="0" applyProtection="0"/>
    <xf numFmtId="0" fontId="76" fillId="5" borderId="4" applyNumberFormat="0" applyAlignment="0" applyProtection="0"/>
    <xf numFmtId="174" fontId="56" fillId="51" borderId="86" applyNumberFormat="0" applyAlignment="0" applyProtection="0"/>
    <xf numFmtId="174" fontId="57" fillId="0" borderId="91" applyNumberFormat="0" applyFill="0" applyAlignment="0" applyProtection="0"/>
    <xf numFmtId="0" fontId="77" fillId="0" borderId="6" applyNumberFormat="0" applyFill="0" applyAlignment="0" applyProtection="0"/>
    <xf numFmtId="174" fontId="57" fillId="0" borderId="91" applyNumberFormat="0" applyFill="0" applyAlignment="0" applyProtection="0"/>
    <xf numFmtId="174" fontId="58" fillId="66" borderId="0" applyNumberFormat="0" applyBorder="0" applyAlignment="0" applyProtection="0"/>
    <xf numFmtId="0" fontId="78" fillId="4" borderId="0" applyNumberFormat="0" applyBorder="0" applyAlignment="0" applyProtection="0"/>
    <xf numFmtId="174" fontId="58" fillId="66" borderId="0" applyNumberFormat="0" applyBorder="0" applyAlignment="0" applyProtection="0"/>
    <xf numFmtId="174" fontId="19" fillId="0" borderId="0"/>
    <xf numFmtId="0" fontId="1" fillId="0" borderId="0"/>
    <xf numFmtId="174" fontId="19" fillId="0" borderId="0"/>
    <xf numFmtId="174" fontId="19" fillId="0" borderId="0"/>
    <xf numFmtId="0" fontId="24" fillId="0" borderId="0"/>
    <xf numFmtId="174" fontId="19" fillId="0" borderId="0"/>
    <xf numFmtId="174" fontId="19" fillId="0" borderId="0"/>
    <xf numFmtId="174" fontId="19" fillId="0" borderId="0"/>
    <xf numFmtId="174" fontId="1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0" fontId="47" fillId="0" borderId="0"/>
    <xf numFmtId="174" fontId="19" fillId="0" borderId="0"/>
    <xf numFmtId="0" fontId="1" fillId="0" borderId="0"/>
    <xf numFmtId="0" fontId="1" fillId="0" borderId="0"/>
    <xf numFmtId="0" fontId="1" fillId="0" borderId="0"/>
    <xf numFmtId="174" fontId="19" fillId="0" borderId="0"/>
    <xf numFmtId="0" fontId="1" fillId="0" borderId="0"/>
    <xf numFmtId="0" fontId="1" fillId="0" borderId="0"/>
    <xf numFmtId="0" fontId="1" fillId="0" borderId="0"/>
    <xf numFmtId="174" fontId="24" fillId="0" borderId="0"/>
    <xf numFmtId="0" fontId="1" fillId="0" borderId="0"/>
    <xf numFmtId="174" fontId="24" fillId="0" borderId="0"/>
    <xf numFmtId="0" fontId="1" fillId="0" borderId="0"/>
    <xf numFmtId="0" fontId="19" fillId="0" borderId="0"/>
    <xf numFmtId="174" fontId="19" fillId="0" borderId="0"/>
    <xf numFmtId="0" fontId="19" fillId="0" borderId="0"/>
    <xf numFmtId="174" fontId="24" fillId="0" borderId="0"/>
    <xf numFmtId="0" fontId="19" fillId="0" borderId="0"/>
    <xf numFmtId="174" fontId="19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0" fontId="1" fillId="0" borderId="0"/>
    <xf numFmtId="0" fontId="1" fillId="0" borderId="0"/>
    <xf numFmtId="0" fontId="1" fillId="0" borderId="0"/>
    <xf numFmtId="174" fontId="24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0" fontId="1" fillId="0" borderId="0"/>
    <xf numFmtId="174" fontId="24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47" fillId="0" borderId="0"/>
    <xf numFmtId="0" fontId="19" fillId="0" borderId="0" applyNumberFormat="0" applyFill="0" applyBorder="0" applyAlignment="0" applyProtection="0"/>
    <xf numFmtId="174" fontId="19" fillId="0" borderId="0"/>
    <xf numFmtId="174" fontId="47" fillId="0" borderId="0"/>
    <xf numFmtId="174" fontId="19" fillId="0" borderId="0"/>
    <xf numFmtId="174" fontId="19" fillId="0" borderId="0"/>
    <xf numFmtId="174" fontId="19" fillId="0" borderId="0"/>
    <xf numFmtId="0" fontId="1" fillId="0" borderId="0"/>
    <xf numFmtId="174" fontId="24" fillId="0" borderId="0"/>
    <xf numFmtId="0" fontId="1" fillId="0" borderId="0"/>
    <xf numFmtId="174" fontId="24" fillId="0" borderId="0"/>
    <xf numFmtId="0" fontId="1" fillId="0" borderId="0"/>
    <xf numFmtId="174" fontId="24" fillId="0" borderId="0"/>
    <xf numFmtId="0" fontId="1" fillId="0" borderId="0"/>
    <xf numFmtId="174" fontId="24" fillId="0" borderId="0"/>
    <xf numFmtId="174" fontId="24" fillId="0" borderId="0"/>
    <xf numFmtId="174" fontId="24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47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47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174" fontId="19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174" fontId="24" fillId="0" borderId="0"/>
    <xf numFmtId="0" fontId="1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174" fontId="19" fillId="0" borderId="0"/>
    <xf numFmtId="0" fontId="1" fillId="0" borderId="0"/>
    <xf numFmtId="0" fontId="1" fillId="0" borderId="0"/>
    <xf numFmtId="174" fontId="47" fillId="0" borderId="0"/>
    <xf numFmtId="0" fontId="1" fillId="0" borderId="0"/>
    <xf numFmtId="174" fontId="1" fillId="0" borderId="0"/>
    <xf numFmtId="0" fontId="1" fillId="0" borderId="0"/>
    <xf numFmtId="174" fontId="47" fillId="0" borderId="0"/>
    <xf numFmtId="0" fontId="1" fillId="0" borderId="0"/>
    <xf numFmtId="0" fontId="1" fillId="0" borderId="0"/>
    <xf numFmtId="0" fontId="1" fillId="0" borderId="0"/>
    <xf numFmtId="174" fontId="47" fillId="0" borderId="0"/>
    <xf numFmtId="0" fontId="1" fillId="0" borderId="0"/>
    <xf numFmtId="174" fontId="1" fillId="0" borderId="0"/>
    <xf numFmtId="0" fontId="1" fillId="0" borderId="0"/>
    <xf numFmtId="174" fontId="47" fillId="0" borderId="0"/>
    <xf numFmtId="0" fontId="1" fillId="0" borderId="0"/>
    <xf numFmtId="0" fontId="1" fillId="0" borderId="0"/>
    <xf numFmtId="0" fontId="1" fillId="0" borderId="0"/>
    <xf numFmtId="174" fontId="47" fillId="0" borderId="0"/>
    <xf numFmtId="0" fontId="1" fillId="0" borderId="0"/>
    <xf numFmtId="174" fontId="1" fillId="0" borderId="0"/>
    <xf numFmtId="0" fontId="1" fillId="0" borderId="0"/>
    <xf numFmtId="174" fontId="47" fillId="0" borderId="0"/>
    <xf numFmtId="0" fontId="1" fillId="0" borderId="0"/>
    <xf numFmtId="0" fontId="1" fillId="0" borderId="0"/>
    <xf numFmtId="0" fontId="1" fillId="0" borderId="0"/>
    <xf numFmtId="174" fontId="47" fillId="0" borderId="0"/>
    <xf numFmtId="0" fontId="1" fillId="0" borderId="0"/>
    <xf numFmtId="174" fontId="1" fillId="0" borderId="0"/>
    <xf numFmtId="0" fontId="1" fillId="0" borderId="0"/>
    <xf numFmtId="174" fontId="47" fillId="0" borderId="0"/>
    <xf numFmtId="0" fontId="1" fillId="0" borderId="0"/>
    <xf numFmtId="0" fontId="1" fillId="0" borderId="0"/>
    <xf numFmtId="0" fontId="1" fillId="0" borderId="0"/>
    <xf numFmtId="174" fontId="47" fillId="0" borderId="0"/>
    <xf numFmtId="0" fontId="1" fillId="0" borderId="0"/>
    <xf numFmtId="174" fontId="1" fillId="0" borderId="0"/>
    <xf numFmtId="0" fontId="1" fillId="0" borderId="0"/>
    <xf numFmtId="174" fontId="47" fillId="0" borderId="0"/>
    <xf numFmtId="0" fontId="1" fillId="0" borderId="0"/>
    <xf numFmtId="174" fontId="47" fillId="0" borderId="0"/>
    <xf numFmtId="0" fontId="1" fillId="0" borderId="0"/>
    <xf numFmtId="174" fontId="19" fillId="0" borderId="0"/>
    <xf numFmtId="0" fontId="1" fillId="0" borderId="0"/>
    <xf numFmtId="174" fontId="19" fillId="67" borderId="92" applyNumberFormat="0" applyFont="0" applyAlignment="0" applyProtection="0"/>
    <xf numFmtId="0" fontId="24" fillId="8" borderId="8" applyNumberFormat="0" applyFont="0" applyAlignment="0" applyProtection="0"/>
    <xf numFmtId="174" fontId="47" fillId="67" borderId="92" applyNumberFormat="0" applyFont="0" applyAlignment="0" applyProtection="0"/>
    <xf numFmtId="174" fontId="47" fillId="67" borderId="92" applyNumberFormat="0" applyFont="0" applyAlignment="0" applyProtection="0"/>
    <xf numFmtId="174" fontId="60" fillId="64" borderId="93" applyNumberFormat="0" applyAlignment="0" applyProtection="0"/>
    <xf numFmtId="0" fontId="79" fillId="6" borderId="5" applyNumberFormat="0" applyAlignment="0" applyProtection="0"/>
    <xf numFmtId="174" fontId="60" fillId="64" borderId="93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4" fontId="61" fillId="0" borderId="0" applyNumberFormat="0" applyFill="0" applyBorder="0" applyAlignment="0" applyProtection="0"/>
    <xf numFmtId="174" fontId="61" fillId="0" borderId="0" applyNumberFormat="0" applyFill="0" applyBorder="0" applyAlignment="0" applyProtection="0"/>
    <xf numFmtId="174" fontId="62" fillId="0" borderId="94" applyNumberFormat="0" applyFill="0" applyAlignment="0" applyProtection="0"/>
    <xf numFmtId="0" fontId="26" fillId="0" borderId="9" applyNumberFormat="0" applyFill="0" applyAlignment="0" applyProtection="0"/>
    <xf numFmtId="174" fontId="62" fillId="0" borderId="94" applyNumberFormat="0" applyFill="0" applyAlignment="0" applyProtection="0"/>
    <xf numFmtId="174" fontId="6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4" fontId="6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895">
    <xf numFmtId="0" fontId="0" fillId="0" borderId="0" xfId="0"/>
    <xf numFmtId="3" fontId="0" fillId="34" borderId="10" xfId="0" applyNumberFormat="1" applyFill="1" applyBorder="1" applyAlignment="1">
      <alignment horizontal="right" vertical="center" wrapText="1"/>
    </xf>
    <xf numFmtId="0" fontId="0" fillId="34" borderId="10" xfId="0" applyFill="1" applyBorder="1" applyAlignment="1">
      <alignment horizontal="right" vertical="center" wrapText="1"/>
    </xf>
    <xf numFmtId="3" fontId="0" fillId="36" borderId="10" xfId="0" applyNumberFormat="1" applyFill="1" applyBorder="1" applyAlignment="1">
      <alignment horizontal="right" vertical="center" wrapText="1"/>
    </xf>
    <xf numFmtId="0" fontId="0" fillId="34" borderId="14" xfId="0" applyFill="1" applyBorder="1" applyAlignment="1">
      <alignment vertical="center" wrapText="1"/>
    </xf>
    <xf numFmtId="3" fontId="0" fillId="35" borderId="15" xfId="0" applyNumberFormat="1" applyFill="1" applyBorder="1" applyAlignment="1">
      <alignment horizontal="right" vertical="center" wrapText="1"/>
    </xf>
    <xf numFmtId="0" fontId="0" fillId="36" borderId="14" xfId="0" applyFill="1" applyBorder="1" applyAlignment="1">
      <alignment vertical="center" wrapText="1"/>
    </xf>
    <xf numFmtId="3" fontId="0" fillId="36" borderId="15" xfId="0" applyNumberFormat="1" applyFill="1" applyBorder="1" applyAlignment="1">
      <alignment horizontal="right" vertical="center" wrapText="1"/>
    </xf>
    <xf numFmtId="0" fontId="0" fillId="36" borderId="16" xfId="0" applyFill="1" applyBorder="1" applyAlignment="1">
      <alignment vertical="center" wrapText="1"/>
    </xf>
    <xf numFmtId="9" fontId="0" fillId="36" borderId="18" xfId="0" applyNumberFormat="1" applyFill="1" applyBorder="1" applyAlignment="1">
      <alignment horizontal="right" vertical="center" wrapText="1"/>
    </xf>
    <xf numFmtId="0" fontId="16" fillId="0" borderId="0" xfId="0" applyFont="1"/>
    <xf numFmtId="0" fontId="0" fillId="0" borderId="20" xfId="0" applyBorder="1"/>
    <xf numFmtId="0" fontId="0" fillId="0" borderId="21" xfId="0" applyBorder="1"/>
    <xf numFmtId="0" fontId="0" fillId="0" borderId="23" xfId="0" applyBorder="1"/>
    <xf numFmtId="0" fontId="0" fillId="0" borderId="0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2" xfId="0" applyBorder="1"/>
    <xf numFmtId="0" fontId="21" fillId="0" borderId="0" xfId="0" applyFont="1" applyAlignment="1">
      <alignment horizontal="center" vertical="center"/>
    </xf>
    <xf numFmtId="10" fontId="0" fillId="36" borderId="31" xfId="0" applyNumberFormat="1" applyFill="1" applyBorder="1" applyAlignment="1">
      <alignment horizontal="right" vertical="center" wrapText="1"/>
    </xf>
    <xf numFmtId="10" fontId="0" fillId="36" borderId="32" xfId="0" applyNumberFormat="1" applyFill="1" applyBorder="1" applyAlignment="1">
      <alignment horizontal="right" vertical="center" wrapText="1"/>
    </xf>
    <xf numFmtId="10" fontId="0" fillId="36" borderId="33" xfId="0" applyNumberFormat="1" applyFill="1" applyBorder="1" applyAlignment="1">
      <alignment horizontal="right" vertical="center" wrapText="1"/>
    </xf>
    <xf numFmtId="0" fontId="0" fillId="0" borderId="28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38" borderId="28" xfId="0" applyFont="1" applyFill="1" applyBorder="1" applyAlignment="1">
      <alignment horizontal="center" vertical="center" wrapText="1"/>
    </xf>
    <xf numFmtId="0" fontId="0" fillId="0" borderId="28" xfId="0" applyFont="1" applyBorder="1"/>
    <xf numFmtId="0" fontId="0" fillId="0" borderId="29" xfId="0" applyFont="1" applyBorder="1" applyAlignment="1">
      <alignment horizont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5" fillId="0" borderId="0" xfId="0" applyFont="1"/>
    <xf numFmtId="0" fontId="26" fillId="0" borderId="0" xfId="0" applyFont="1" applyAlignment="1"/>
    <xf numFmtId="0" fontId="0" fillId="0" borderId="0" xfId="0" applyAlignment="1">
      <alignment wrapText="1"/>
    </xf>
    <xf numFmtId="0" fontId="26" fillId="39" borderId="38" xfId="0" applyFont="1" applyFill="1" applyBorder="1" applyAlignment="1">
      <alignment horizontal="center" wrapText="1"/>
    </xf>
    <xf numFmtId="0" fontId="26" fillId="39" borderId="37" xfId="0" applyFont="1" applyFill="1" applyBorder="1" applyAlignment="1">
      <alignment horizontal="center" wrapText="1"/>
    </xf>
    <xf numFmtId="0" fontId="27" fillId="39" borderId="39" xfId="0" applyFont="1" applyFill="1" applyBorder="1" applyAlignment="1">
      <alignment horizontal="center" wrapText="1"/>
    </xf>
    <xf numFmtId="0" fontId="0" fillId="0" borderId="37" xfId="0" applyBorder="1" applyAlignment="1">
      <alignment wrapText="1"/>
    </xf>
    <xf numFmtId="2" fontId="0" fillId="0" borderId="38" xfId="0" applyNumberFormat="1" applyFill="1" applyBorder="1" applyAlignment="1">
      <alignment horizontal="center" wrapText="1"/>
    </xf>
    <xf numFmtId="2" fontId="0" fillId="0" borderId="37" xfId="0" applyNumberFormat="1" applyFill="1" applyBorder="1" applyAlignment="1">
      <alignment horizontal="center" wrapText="1"/>
    </xf>
    <xf numFmtId="0" fontId="0" fillId="0" borderId="40" xfId="0" applyBorder="1" applyAlignment="1">
      <alignment wrapText="1"/>
    </xf>
    <xf numFmtId="2" fontId="0" fillId="0" borderId="41" xfId="0" applyNumberFormat="1" applyFill="1" applyBorder="1" applyAlignment="1">
      <alignment horizontal="center" wrapText="1"/>
    </xf>
    <xf numFmtId="2" fontId="0" fillId="0" borderId="40" xfId="0" applyNumberFormat="1" applyFill="1" applyBorder="1" applyAlignment="1">
      <alignment horizontal="center" wrapText="1"/>
    </xf>
    <xf numFmtId="0" fontId="0" fillId="0" borderId="28" xfId="0" applyBorder="1"/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26" fillId="37" borderId="28" xfId="0" applyFont="1" applyFill="1" applyBorder="1" applyAlignment="1">
      <alignment horizontal="center" wrapText="1"/>
    </xf>
    <xf numFmtId="0" fontId="16" fillId="37" borderId="28" xfId="0" applyFont="1" applyFill="1" applyBorder="1" applyAlignment="1">
      <alignment horizontal="center"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horizontal="right"/>
    </xf>
    <xf numFmtId="2" fontId="0" fillId="0" borderId="38" xfId="0" applyNumberFormat="1" applyFont="1" applyFill="1" applyBorder="1" applyAlignment="1">
      <alignment horizontal="center" wrapText="1"/>
    </xf>
    <xf numFmtId="2" fontId="0" fillId="0" borderId="37" xfId="0" applyNumberFormat="1" applyFont="1" applyFill="1" applyBorder="1" applyAlignment="1">
      <alignment horizontal="center" wrapText="1"/>
    </xf>
    <xf numFmtId="2" fontId="0" fillId="0" borderId="37" xfId="0" quotePrefix="1" applyNumberFormat="1" applyFont="1" applyFill="1" applyBorder="1" applyAlignment="1">
      <alignment horizontal="center" wrapText="1"/>
    </xf>
    <xf numFmtId="2" fontId="0" fillId="0" borderId="0" xfId="0" applyNumberFormat="1" applyFont="1" applyAlignment="1">
      <alignment horizontal="center"/>
    </xf>
    <xf numFmtId="2" fontId="29" fillId="0" borderId="39" xfId="0" quotePrefix="1" applyNumberFormat="1" applyFont="1" applyFill="1" applyBorder="1" applyAlignment="1">
      <alignment horizontal="center" wrapText="1"/>
    </xf>
    <xf numFmtId="2" fontId="29" fillId="0" borderId="39" xfId="0" applyNumberFormat="1" applyFont="1" applyFill="1" applyBorder="1" applyAlignment="1">
      <alignment horizontal="center" wrapText="1"/>
    </xf>
    <xf numFmtId="2" fontId="0" fillId="0" borderId="41" xfId="0" applyNumberFormat="1" applyFont="1" applyFill="1" applyBorder="1" applyAlignment="1">
      <alignment horizontal="center" wrapText="1"/>
    </xf>
    <xf numFmtId="2" fontId="0" fillId="0" borderId="40" xfId="0" applyNumberFormat="1" applyFont="1" applyFill="1" applyBorder="1" applyAlignment="1">
      <alignment horizontal="center" wrapText="1"/>
    </xf>
    <xf numFmtId="2" fontId="0" fillId="0" borderId="40" xfId="0" quotePrefix="1" applyNumberFormat="1" applyFont="1" applyFill="1" applyBorder="1" applyAlignment="1">
      <alignment horizontal="center" wrapText="1"/>
    </xf>
    <xf numFmtId="2" fontId="29" fillId="0" borderId="42" xfId="0" applyNumberFormat="1" applyFont="1" applyFill="1" applyBorder="1" applyAlignment="1">
      <alignment horizontal="center" wrapText="1"/>
    </xf>
    <xf numFmtId="0" fontId="22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/>
    <xf numFmtId="0" fontId="31" fillId="0" borderId="0" xfId="43" applyAlignment="1">
      <alignment horizontal="left"/>
    </xf>
    <xf numFmtId="0" fontId="26" fillId="0" borderId="0" xfId="0" applyFont="1" applyAlignment="1">
      <alignment horizontal="left"/>
    </xf>
    <xf numFmtId="0" fontId="26" fillId="39" borderId="28" xfId="0" applyFont="1" applyFill="1" applyBorder="1" applyAlignment="1">
      <alignment horizontal="center"/>
    </xf>
    <xf numFmtId="2" fontId="0" fillId="40" borderId="28" xfId="0" applyNumberFormat="1" applyFill="1" applyBorder="1" applyAlignment="1">
      <alignment horizontal="center"/>
    </xf>
    <xf numFmtId="0" fontId="0" fillId="40" borderId="28" xfId="0" applyFill="1" applyBorder="1" applyAlignment="1">
      <alignment horizontal="center"/>
    </xf>
    <xf numFmtId="2" fontId="0" fillId="0" borderId="28" xfId="0" applyNumberForma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2" fontId="16" fillId="37" borderId="28" xfId="0" applyNumberFormat="1" applyFont="1" applyFill="1" applyBorder="1" applyAlignment="1">
      <alignment horizontal="center"/>
    </xf>
    <xf numFmtId="0" fontId="16" fillId="37" borderId="28" xfId="0" applyFont="1" applyFill="1" applyBorder="1" applyAlignment="1">
      <alignment horizontal="center"/>
    </xf>
    <xf numFmtId="0" fontId="26" fillId="0" borderId="0" xfId="0" applyFont="1"/>
    <xf numFmtId="0" fontId="18" fillId="33" borderId="47" xfId="0" applyFont="1" applyFill="1" applyBorder="1" applyAlignment="1">
      <alignment vertical="center" wrapText="1"/>
    </xf>
    <xf numFmtId="0" fontId="18" fillId="33" borderId="48" xfId="0" applyFont="1" applyFill="1" applyBorder="1" applyAlignment="1">
      <alignment horizontal="right" vertical="center" wrapText="1"/>
    </xf>
    <xf numFmtId="0" fontId="18" fillId="33" borderId="49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left" vertical="center"/>
    </xf>
    <xf numFmtId="0" fontId="16" fillId="37" borderId="0" xfId="0" applyFont="1" applyFill="1" applyBorder="1"/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23" fillId="0" borderId="52" xfId="0" applyFont="1" applyBorder="1" applyAlignment="1">
      <alignment wrapText="1"/>
    </xf>
    <xf numFmtId="0" fontId="0" fillId="0" borderId="40" xfId="0" applyFont="1" applyBorder="1" applyAlignment="1">
      <alignment wrapText="1"/>
    </xf>
    <xf numFmtId="2" fontId="0" fillId="0" borderId="37" xfId="0" quotePrefix="1" applyNumberFormat="1" applyFill="1" applyBorder="1" applyAlignment="1">
      <alignment horizontal="center" wrapText="1"/>
    </xf>
    <xf numFmtId="2" fontId="29" fillId="0" borderId="42" xfId="0" quotePrefix="1" applyNumberFormat="1" applyFont="1" applyFill="1" applyBorder="1" applyAlignment="1">
      <alignment horizontal="center" wrapText="1"/>
    </xf>
    <xf numFmtId="2" fontId="0" fillId="0" borderId="0" xfId="0" quotePrefix="1" applyNumberFormat="1" applyAlignment="1">
      <alignment horizontal="center"/>
    </xf>
    <xf numFmtId="0" fontId="19" fillId="0" borderId="0" xfId="42" applyFont="1"/>
    <xf numFmtId="0" fontId="19" fillId="0" borderId="0" xfId="42"/>
    <xf numFmtId="0" fontId="19" fillId="0" borderId="0" xfId="42" applyFont="1" applyAlignment="1">
      <alignment horizontal="right"/>
    </xf>
    <xf numFmtId="3" fontId="19" fillId="0" borderId="0" xfId="42" applyNumberFormat="1"/>
    <xf numFmtId="0" fontId="20" fillId="0" borderId="28" xfId="42" applyFont="1" applyBorder="1" applyAlignment="1">
      <alignment horizontal="center" wrapText="1"/>
    </xf>
    <xf numFmtId="0" fontId="20" fillId="0" borderId="28" xfId="42" applyFont="1" applyFill="1" applyBorder="1" applyAlignment="1">
      <alignment horizontal="center" wrapText="1"/>
    </xf>
    <xf numFmtId="9" fontId="19" fillId="0" borderId="28" xfId="42" applyNumberFormat="1" applyFont="1" applyFill="1" applyBorder="1" applyAlignment="1">
      <alignment horizontal="center" wrapText="1"/>
    </xf>
    <xf numFmtId="0" fontId="16" fillId="37" borderId="26" xfId="0" applyFont="1" applyFill="1" applyBorder="1"/>
    <xf numFmtId="164" fontId="0" fillId="0" borderId="28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4" fontId="0" fillId="0" borderId="0" xfId="0" applyNumberFormat="1"/>
    <xf numFmtId="0" fontId="37" fillId="41" borderId="28" xfId="0" applyFont="1" applyFill="1" applyBorder="1" applyAlignment="1">
      <alignment horizontal="center"/>
    </xf>
    <xf numFmtId="0" fontId="38" fillId="0" borderId="61" xfId="0" applyFont="1" applyBorder="1" applyAlignment="1">
      <alignment horizontal="center"/>
    </xf>
    <xf numFmtId="0" fontId="37" fillId="41" borderId="28" xfId="0" applyFont="1" applyFill="1" applyBorder="1" applyAlignment="1">
      <alignment horizontal="center" wrapText="1"/>
    </xf>
    <xf numFmtId="0" fontId="38" fillId="40" borderId="62" xfId="0" applyFont="1" applyFill="1" applyBorder="1" applyAlignment="1">
      <alignment horizontal="center"/>
    </xf>
    <xf numFmtId="0" fontId="38" fillId="40" borderId="0" xfId="0" applyFont="1" applyFill="1" applyBorder="1" applyAlignment="1">
      <alignment horizontal="center"/>
    </xf>
    <xf numFmtId="0" fontId="14" fillId="40" borderId="0" xfId="0" applyFont="1" applyFill="1" applyBorder="1" applyAlignment="1">
      <alignment horizontal="center"/>
    </xf>
    <xf numFmtId="0" fontId="0" fillId="40" borderId="0" xfId="0" applyFill="1" applyBorder="1" applyAlignment="1">
      <alignment horizontal="center"/>
    </xf>
    <xf numFmtId="0" fontId="38" fillId="0" borderId="28" xfId="0" applyFont="1" applyBorder="1" applyAlignment="1">
      <alignment horizontal="center"/>
    </xf>
    <xf numFmtId="0" fontId="38" fillId="40" borderId="28" xfId="0" applyFont="1" applyFill="1" applyBorder="1" applyAlignment="1">
      <alignment horizontal="center"/>
    </xf>
    <xf numFmtId="14" fontId="38" fillId="0" borderId="28" xfId="0" applyNumberFormat="1" applyFont="1" applyBorder="1" applyAlignment="1">
      <alignment horizontal="center"/>
    </xf>
    <xf numFmtId="0" fontId="39" fillId="40" borderId="0" xfId="0" applyFont="1" applyFill="1" applyBorder="1" applyAlignment="1">
      <alignment horizontal="left"/>
    </xf>
    <xf numFmtId="0" fontId="38" fillId="0" borderId="0" xfId="0" applyFont="1" applyBorder="1" applyAlignment="1"/>
    <xf numFmtId="0" fontId="38" fillId="40" borderId="0" xfId="0" applyFont="1" applyFill="1" applyBorder="1" applyAlignment="1"/>
    <xf numFmtId="0" fontId="36" fillId="40" borderId="0" xfId="0" applyFont="1" applyFill="1" applyBorder="1" applyAlignment="1">
      <alignment horizontal="center"/>
    </xf>
    <xf numFmtId="0" fontId="20" fillId="40" borderId="0" xfId="0" applyFont="1" applyFill="1" applyBorder="1" applyAlignment="1">
      <alignment horizontal="center"/>
    </xf>
    <xf numFmtId="0" fontId="0" fillId="40" borderId="0" xfId="0" applyFill="1" applyBorder="1" applyAlignment="1">
      <alignment horizontal="center" vertical="center"/>
    </xf>
    <xf numFmtId="0" fontId="19" fillId="42" borderId="28" xfId="51" applyFont="1" applyFill="1" applyBorder="1" applyAlignment="1">
      <alignment horizontal="center" vertical="center"/>
    </xf>
    <xf numFmtId="0" fontId="0" fillId="42" borderId="28" xfId="0" applyFill="1" applyBorder="1" applyAlignment="1">
      <alignment horizontal="center" vertical="center"/>
    </xf>
    <xf numFmtId="0" fontId="19" fillId="42" borderId="28" xfId="50" applyFill="1" applyBorder="1" applyAlignment="1">
      <alignment horizontal="center" vertical="center"/>
    </xf>
    <xf numFmtId="167" fontId="19" fillId="42" borderId="28" xfId="50" applyNumberFormat="1" applyFont="1" applyFill="1" applyBorder="1" applyAlignment="1">
      <alignment horizontal="center" vertical="center"/>
    </xf>
    <xf numFmtId="0" fontId="19" fillId="42" borderId="28" xfId="50" applyFont="1" applyFill="1" applyBorder="1" applyAlignment="1">
      <alignment horizontal="center" vertical="center"/>
    </xf>
    <xf numFmtId="168" fontId="19" fillId="42" borderId="28" xfId="52" applyNumberFormat="1" applyFont="1" applyFill="1" applyBorder="1" applyAlignment="1">
      <alignment horizontal="center" vertical="center"/>
    </xf>
    <xf numFmtId="166" fontId="19" fillId="42" borderId="28" xfId="49" applyNumberFormat="1" applyFont="1" applyFill="1" applyBorder="1" applyAlignment="1">
      <alignment horizontal="center" vertical="center"/>
    </xf>
    <xf numFmtId="169" fontId="19" fillId="42" borderId="28" xfId="49" applyNumberFormat="1" applyFont="1" applyFill="1" applyBorder="1" applyAlignment="1">
      <alignment horizontal="center" vertical="center"/>
    </xf>
    <xf numFmtId="3" fontId="19" fillId="42" borderId="28" xfId="50" applyNumberFormat="1" applyFill="1" applyBorder="1" applyAlignment="1">
      <alignment horizontal="center" vertical="center"/>
    </xf>
    <xf numFmtId="1" fontId="19" fillId="42" borderId="28" xfId="50" applyNumberFormat="1" applyFill="1" applyBorder="1" applyAlignment="1">
      <alignment horizontal="center" vertical="center"/>
    </xf>
    <xf numFmtId="0" fontId="38" fillId="39" borderId="28" xfId="0" applyFont="1" applyFill="1" applyBorder="1" applyAlignment="1">
      <alignment horizontal="center" vertical="center"/>
    </xf>
    <xf numFmtId="0" fontId="19" fillId="42" borderId="28" xfId="49" applyNumberFormat="1" applyFont="1" applyFill="1" applyBorder="1" applyAlignment="1">
      <alignment horizontal="center" vertical="center"/>
    </xf>
    <xf numFmtId="0" fontId="38" fillId="42" borderId="28" xfId="49" applyNumberFormat="1" applyFont="1" applyFill="1" applyBorder="1" applyAlignment="1">
      <alignment horizontal="center" vertical="center"/>
    </xf>
    <xf numFmtId="0" fontId="19" fillId="0" borderId="28" xfId="0" applyFont="1" applyFill="1" applyBorder="1" applyAlignment="1">
      <alignment horizontal="center"/>
    </xf>
    <xf numFmtId="0" fontId="0" fillId="41" borderId="28" xfId="0" applyFill="1" applyBorder="1" applyAlignment="1" applyProtection="1">
      <alignment horizontal="center" vertical="center" wrapText="1"/>
    </xf>
    <xf numFmtId="0" fontId="0" fillId="41" borderId="28" xfId="0" applyNumberFormat="1" applyFill="1" applyBorder="1" applyAlignment="1" applyProtection="1">
      <alignment horizontal="center" vertical="center" wrapText="1"/>
    </xf>
    <xf numFmtId="1" fontId="0" fillId="41" borderId="28" xfId="0" applyNumberFormat="1" applyFill="1" applyBorder="1" applyAlignment="1" applyProtection="1">
      <alignment horizontal="center" vertical="center" wrapText="1"/>
    </xf>
    <xf numFmtId="166" fontId="0" fillId="41" borderId="28" xfId="49" applyNumberFormat="1" applyFont="1" applyFill="1" applyBorder="1" applyAlignment="1" applyProtection="1">
      <alignment horizontal="center" vertical="center" wrapText="1"/>
    </xf>
    <xf numFmtId="166" fontId="0" fillId="41" borderId="28" xfId="0" applyNumberFormat="1" applyFill="1" applyBorder="1" applyAlignment="1" applyProtection="1">
      <alignment horizontal="center" vertical="center" wrapText="1"/>
    </xf>
    <xf numFmtId="0" fontId="38" fillId="41" borderId="28" xfId="0" applyFont="1" applyFill="1" applyBorder="1" applyAlignment="1" applyProtection="1">
      <alignment horizontal="center" vertical="center" wrapText="1"/>
    </xf>
    <xf numFmtId="0" fontId="19" fillId="0" borderId="28" xfId="51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19" fillId="0" borderId="28" xfId="50" applyFill="1" applyBorder="1" applyAlignment="1">
      <alignment horizontal="center" vertical="center"/>
    </xf>
    <xf numFmtId="167" fontId="19" fillId="0" borderId="28" xfId="50" applyNumberFormat="1" applyFont="1" applyFill="1" applyBorder="1" applyAlignment="1">
      <alignment horizontal="center" vertical="center"/>
    </xf>
    <xf numFmtId="0" fontId="19" fillId="0" borderId="28" xfId="50" applyFont="1" applyFill="1" applyBorder="1" applyAlignment="1">
      <alignment horizontal="center" vertical="center"/>
    </xf>
    <xf numFmtId="168" fontId="19" fillId="0" borderId="28" xfId="52" applyNumberFormat="1" applyFont="1" applyFill="1" applyBorder="1" applyAlignment="1">
      <alignment horizontal="center" vertical="center"/>
    </xf>
    <xf numFmtId="166" fontId="19" fillId="0" borderId="28" xfId="49" applyNumberFormat="1" applyFont="1" applyFill="1" applyBorder="1" applyAlignment="1">
      <alignment horizontal="center" vertical="center"/>
    </xf>
    <xf numFmtId="169" fontId="19" fillId="0" borderId="28" xfId="49" applyNumberFormat="1" applyFont="1" applyFill="1" applyBorder="1" applyAlignment="1">
      <alignment horizontal="center" vertical="center"/>
    </xf>
    <xf numFmtId="3" fontId="19" fillId="0" borderId="28" xfId="50" applyNumberFormat="1" applyFill="1" applyBorder="1" applyAlignment="1">
      <alignment horizontal="center" vertical="center"/>
    </xf>
    <xf numFmtId="1" fontId="19" fillId="0" borderId="28" xfId="50" applyNumberFormat="1" applyFill="1" applyBorder="1" applyAlignment="1">
      <alignment horizontal="center" vertical="center"/>
    </xf>
    <xf numFmtId="0" fontId="38" fillId="0" borderId="28" xfId="0" applyFont="1" applyFill="1" applyBorder="1" applyAlignment="1">
      <alignment horizontal="center" vertical="center"/>
    </xf>
    <xf numFmtId="0" fontId="19" fillId="0" borderId="28" xfId="49" applyNumberFormat="1" applyFont="1" applyFill="1" applyBorder="1" applyAlignment="1">
      <alignment horizontal="center" vertical="center"/>
    </xf>
    <xf numFmtId="0" fontId="38" fillId="0" borderId="28" xfId="49" applyNumberFormat="1" applyFont="1" applyFill="1" applyBorder="1" applyAlignment="1">
      <alignment horizontal="center" vertical="center"/>
    </xf>
    <xf numFmtId="0" fontId="29" fillId="0" borderId="0" xfId="0" applyFont="1"/>
    <xf numFmtId="9" fontId="29" fillId="0" borderId="0" xfId="0" applyNumberFormat="1" applyFont="1"/>
    <xf numFmtId="39" fontId="19" fillId="0" borderId="28" xfId="52" applyNumberFormat="1" applyFont="1" applyFill="1" applyBorder="1" applyAlignment="1">
      <alignment horizontal="center" vertical="center"/>
    </xf>
    <xf numFmtId="2" fontId="19" fillId="0" borderId="28" xfId="50" applyNumberFormat="1" applyFill="1" applyBorder="1" applyAlignment="1">
      <alignment horizontal="center" vertical="center"/>
    </xf>
    <xf numFmtId="3" fontId="0" fillId="0" borderId="0" xfId="0" applyNumberFormat="1"/>
    <xf numFmtId="0" fontId="35" fillId="0" borderId="0" xfId="48"/>
    <xf numFmtId="0" fontId="16" fillId="0" borderId="28" xfId="0" applyFont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/>
    </xf>
    <xf numFmtId="9" fontId="0" fillId="0" borderId="28" xfId="0" applyNumberFormat="1" applyBorder="1" applyAlignment="1">
      <alignment horizontal="center" vertical="center"/>
    </xf>
    <xf numFmtId="3" fontId="16" fillId="37" borderId="28" xfId="0" applyNumberFormat="1" applyFont="1" applyFill="1" applyBorder="1" applyAlignment="1">
      <alignment horizontal="center" vertical="center"/>
    </xf>
    <xf numFmtId="0" fontId="41" fillId="0" borderId="28" xfId="0" applyFont="1" applyBorder="1" applyAlignment="1">
      <alignment horizontal="center"/>
    </xf>
    <xf numFmtId="0" fontId="16" fillId="0" borderId="28" xfId="0" applyFont="1" applyBorder="1"/>
    <xf numFmtId="9" fontId="0" fillId="0" borderId="28" xfId="0" applyNumberFormat="1" applyFill="1" applyBorder="1" applyAlignment="1">
      <alignment horizontal="center"/>
    </xf>
    <xf numFmtId="3" fontId="0" fillId="0" borderId="0" xfId="0" applyNumberFormat="1" applyAlignment="1">
      <alignment horizontal="center"/>
    </xf>
    <xf numFmtId="9" fontId="0" fillId="0" borderId="43" xfId="0" applyNumberFormat="1" applyFill="1" applyBorder="1" applyAlignment="1">
      <alignment horizontal="center" vertical="center"/>
    </xf>
    <xf numFmtId="0" fontId="36" fillId="0" borderId="0" xfId="0" applyFont="1"/>
    <xf numFmtId="0" fontId="16" fillId="43" borderId="28" xfId="0" applyFont="1" applyFill="1" applyBorder="1"/>
    <xf numFmtId="0" fontId="0" fillId="43" borderId="28" xfId="0" applyFill="1" applyBorder="1"/>
    <xf numFmtId="1" fontId="0" fillId="0" borderId="28" xfId="0" applyNumberFormat="1" applyBorder="1"/>
    <xf numFmtId="1" fontId="0" fillId="0" borderId="44" xfId="0" applyNumberFormat="1" applyFill="1" applyBorder="1"/>
    <xf numFmtId="9" fontId="0" fillId="37" borderId="64" xfId="0" applyNumberFormat="1" applyFill="1" applyBorder="1"/>
    <xf numFmtId="9" fontId="0" fillId="0" borderId="64" xfId="0" applyNumberFormat="1" applyFill="1" applyBorder="1"/>
    <xf numFmtId="0" fontId="0" fillId="44" borderId="28" xfId="0" applyFill="1" applyBorder="1"/>
    <xf numFmtId="1" fontId="0" fillId="44" borderId="44" xfId="0" applyNumberFormat="1" applyFill="1" applyBorder="1"/>
    <xf numFmtId="0" fontId="0" fillId="45" borderId="28" xfId="0" applyFill="1" applyBorder="1" applyAlignment="1">
      <alignment wrapText="1"/>
    </xf>
    <xf numFmtId="0" fontId="0" fillId="37" borderId="28" xfId="0" applyFill="1" applyBorder="1" applyAlignment="1">
      <alignment wrapText="1"/>
    </xf>
    <xf numFmtId="9" fontId="0" fillId="0" borderId="0" xfId="0" applyNumberFormat="1"/>
    <xf numFmtId="0" fontId="0" fillId="44" borderId="28" xfId="0" applyFill="1" applyBorder="1" applyAlignment="1">
      <alignment wrapText="1"/>
    </xf>
    <xf numFmtId="9" fontId="0" fillId="0" borderId="65" xfId="0" applyNumberFormat="1" applyFill="1" applyBorder="1"/>
    <xf numFmtId="0" fontId="24" fillId="0" borderId="0" xfId="54"/>
    <xf numFmtId="0" fontId="26" fillId="0" borderId="0" xfId="0" applyFont="1" applyAlignment="1">
      <alignment horizontal="right"/>
    </xf>
    <xf numFmtId="172" fontId="19" fillId="0" borderId="0" xfId="1104" applyNumberFormat="1" applyFill="1" applyAlignment="1">
      <alignment horizontal="center" vertical="center"/>
    </xf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0" fontId="65" fillId="39" borderId="62" xfId="0" applyFont="1" applyFill="1" applyBorder="1" applyAlignment="1">
      <alignment horizontal="center" vertical="center" wrapText="1"/>
    </xf>
    <xf numFmtId="0" fontId="65" fillId="39" borderId="99" xfId="0" applyFont="1" applyFill="1" applyBorder="1" applyAlignment="1">
      <alignment horizontal="center" vertical="center" wrapText="1"/>
    </xf>
    <xf numFmtId="0" fontId="65" fillId="39" borderId="100" xfId="0" applyFont="1" applyFill="1" applyBorder="1" applyAlignment="1">
      <alignment horizontal="center" vertical="center" wrapText="1"/>
    </xf>
    <xf numFmtId="0" fontId="65" fillId="39" borderId="101" xfId="0" applyFont="1" applyFill="1" applyBorder="1" applyAlignment="1">
      <alignment horizontal="center" vertical="center" wrapText="1"/>
    </xf>
    <xf numFmtId="0" fontId="65" fillId="39" borderId="28" xfId="0" applyFont="1" applyFill="1" applyBorder="1" applyAlignment="1">
      <alignment horizontal="center" vertical="center" wrapText="1"/>
    </xf>
    <xf numFmtId="0" fontId="65" fillId="39" borderId="81" xfId="0" applyFont="1" applyFill="1" applyBorder="1" applyAlignment="1">
      <alignment horizontal="center" vertical="center" wrapText="1"/>
    </xf>
    <xf numFmtId="0" fontId="65" fillId="0" borderId="102" xfId="0" applyFont="1" applyFill="1" applyBorder="1" applyAlignment="1">
      <alignment horizontal="center" vertical="center" wrapText="1"/>
    </xf>
    <xf numFmtId="170" fontId="64" fillId="0" borderId="28" xfId="0" applyNumberFormat="1" applyFont="1" applyFill="1" applyBorder="1" applyAlignment="1">
      <alignment horizontal="center" vertical="center"/>
    </xf>
    <xf numFmtId="171" fontId="64" fillId="0" borderId="81" xfId="0" applyNumberFormat="1" applyFont="1" applyFill="1" applyBorder="1" applyAlignment="1">
      <alignment horizontal="center" vertical="center"/>
    </xf>
    <xf numFmtId="171" fontId="64" fillId="0" borderId="28" xfId="0" applyNumberFormat="1" applyFont="1" applyFill="1" applyBorder="1" applyAlignment="1">
      <alignment horizontal="center" vertical="center"/>
    </xf>
    <xf numFmtId="171" fontId="64" fillId="0" borderId="44" xfId="0" applyNumberFormat="1" applyFont="1" applyFill="1" applyBorder="1" applyAlignment="1">
      <alignment horizontal="center" vertical="center"/>
    </xf>
    <xf numFmtId="171" fontId="64" fillId="0" borderId="101" xfId="0" applyNumberFormat="1" applyFont="1" applyFill="1" applyBorder="1" applyAlignment="1">
      <alignment horizontal="center" vertical="center"/>
    </xf>
    <xf numFmtId="0" fontId="65" fillId="0" borderId="103" xfId="0" applyFont="1" applyFill="1" applyBorder="1" applyAlignment="1">
      <alignment horizontal="center" vertical="center" wrapText="1"/>
    </xf>
    <xf numFmtId="170" fontId="64" fillId="0" borderId="29" xfId="0" applyNumberFormat="1" applyFont="1" applyFill="1" applyBorder="1" applyAlignment="1">
      <alignment horizontal="center" vertical="center"/>
    </xf>
    <xf numFmtId="171" fontId="64" fillId="0" borderId="83" xfId="0" applyNumberFormat="1" applyFont="1" applyFill="1" applyBorder="1" applyAlignment="1">
      <alignment horizontal="center" vertical="center"/>
    </xf>
    <xf numFmtId="171" fontId="64" fillId="0" borderId="29" xfId="0" applyNumberFormat="1" applyFont="1" applyFill="1" applyBorder="1" applyAlignment="1">
      <alignment horizontal="center" vertical="center"/>
    </xf>
    <xf numFmtId="171" fontId="64" fillId="0" borderId="104" xfId="0" applyNumberFormat="1" applyFont="1" applyFill="1" applyBorder="1" applyAlignment="1">
      <alignment horizontal="center" vertical="center"/>
    </xf>
    <xf numFmtId="171" fontId="64" fillId="0" borderId="105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170" fontId="0" fillId="0" borderId="0" xfId="0" applyNumberFormat="1" applyFill="1" applyBorder="1" applyAlignment="1">
      <alignment horizontal="center" vertical="center"/>
    </xf>
    <xf numFmtId="171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6" fillId="39" borderId="101" xfId="0" applyFont="1" applyFill="1" applyBorder="1" applyAlignment="1">
      <alignment horizontal="center" vertical="center" wrapText="1"/>
    </xf>
    <xf numFmtId="0" fontId="26" fillId="39" borderId="81" xfId="0" applyFont="1" applyFill="1" applyBorder="1" applyAlignment="1">
      <alignment horizontal="center" vertical="center" wrapText="1"/>
    </xf>
    <xf numFmtId="0" fontId="26" fillId="39" borderId="28" xfId="0" applyFont="1" applyFill="1" applyBorder="1" applyAlignment="1">
      <alignment horizontal="center" vertical="center" wrapText="1"/>
    </xf>
    <xf numFmtId="0" fontId="26" fillId="39" borderId="101" xfId="0" applyFont="1" applyFill="1" applyBorder="1" applyAlignment="1">
      <alignment horizontal="center" vertical="center"/>
    </xf>
    <xf numFmtId="0" fontId="26" fillId="0" borderId="107" xfId="0" applyFont="1" applyBorder="1" applyAlignment="1">
      <alignment horizontal="center" vertical="center" wrapText="1"/>
    </xf>
    <xf numFmtId="171" fontId="0" fillId="0" borderId="0" xfId="0" applyNumberFormat="1" applyAlignment="1">
      <alignment vertical="center"/>
    </xf>
    <xf numFmtId="0" fontId="41" fillId="0" borderId="0" xfId="0" applyFont="1"/>
    <xf numFmtId="0" fontId="66" fillId="0" borderId="0" xfId="0" applyFont="1"/>
    <xf numFmtId="173" fontId="64" fillId="0" borderId="28" xfId="0" applyNumberFormat="1" applyFont="1" applyBorder="1" applyAlignment="1">
      <alignment horizontal="center"/>
    </xf>
    <xf numFmtId="171" fontId="24" fillId="0" borderId="105" xfId="0" applyNumberFormat="1" applyFont="1" applyFill="1" applyBorder="1" applyAlignment="1">
      <alignment horizontal="center" vertical="center"/>
    </xf>
    <xf numFmtId="171" fontId="24" fillId="0" borderId="83" xfId="0" applyNumberFormat="1" applyFont="1" applyFill="1" applyBorder="1" applyAlignment="1">
      <alignment horizontal="center" vertical="center"/>
    </xf>
    <xf numFmtId="171" fontId="24" fillId="0" borderId="29" xfId="0" applyNumberFormat="1" applyFont="1" applyFill="1" applyBorder="1" applyAlignment="1">
      <alignment horizontal="center" vertical="center"/>
    </xf>
    <xf numFmtId="170" fontId="24" fillId="37" borderId="105" xfId="0" applyNumberFormat="1" applyFont="1" applyFill="1" applyBorder="1" applyAlignment="1">
      <alignment horizontal="center" vertical="center"/>
    </xf>
    <xf numFmtId="171" fontId="24" fillId="37" borderId="29" xfId="0" applyNumberFormat="1" applyFont="1" applyFill="1" applyBorder="1" applyAlignment="1">
      <alignment horizontal="center" vertical="center"/>
    </xf>
    <xf numFmtId="171" fontId="24" fillId="37" borderId="83" xfId="0" applyNumberFormat="1" applyFont="1" applyFill="1" applyBorder="1" applyAlignment="1">
      <alignment horizontal="center" vertical="center"/>
    </xf>
    <xf numFmtId="0" fontId="65" fillId="39" borderId="63" xfId="0" applyFont="1" applyFill="1" applyBorder="1" applyAlignment="1">
      <alignment horizontal="center" vertical="center" wrapText="1"/>
    </xf>
    <xf numFmtId="0" fontId="65" fillId="39" borderId="44" xfId="0" applyFont="1" applyFill="1" applyBorder="1" applyAlignment="1">
      <alignment horizontal="center" vertical="center" wrapText="1"/>
    </xf>
    <xf numFmtId="0" fontId="65" fillId="39" borderId="64" xfId="0" applyFont="1" applyFill="1" applyBorder="1" applyAlignment="1">
      <alignment horizontal="center" vertical="center" wrapText="1"/>
    </xf>
    <xf numFmtId="3" fontId="64" fillId="0" borderId="64" xfId="0" applyNumberFormat="1" applyFont="1" applyBorder="1" applyAlignment="1">
      <alignment horizontal="center"/>
    </xf>
    <xf numFmtId="3" fontId="64" fillId="0" borderId="65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 vertical="center" wrapText="1"/>
    </xf>
    <xf numFmtId="171" fontId="24" fillId="0" borderId="0" xfId="0" applyNumberFormat="1" applyFont="1" applyFill="1" applyBorder="1" applyAlignment="1">
      <alignment horizontal="center" vertical="center"/>
    </xf>
    <xf numFmtId="3" fontId="64" fillId="0" borderId="0" xfId="0" applyNumberFormat="1" applyFont="1" applyBorder="1" applyAlignment="1">
      <alignment horizontal="center"/>
    </xf>
    <xf numFmtId="0" fontId="19" fillId="0" borderId="28" xfId="50" applyFont="1" applyFill="1" applyBorder="1" applyAlignment="1" applyProtection="1">
      <alignment horizontal="center" vertical="center"/>
    </xf>
    <xf numFmtId="0" fontId="24" fillId="0" borderId="28" xfId="0" applyFont="1" applyFill="1" applyBorder="1" applyAlignment="1">
      <alignment horizontal="center" vertical="center"/>
    </xf>
    <xf numFmtId="170" fontId="19" fillId="0" borderId="28" xfId="50" applyNumberFormat="1" applyFill="1" applyBorder="1" applyAlignment="1">
      <alignment horizontal="center" vertical="center"/>
    </xf>
    <xf numFmtId="4" fontId="19" fillId="0" borderId="28" xfId="52" applyNumberFormat="1" applyFont="1" applyFill="1" applyBorder="1" applyAlignment="1">
      <alignment horizontal="center" vertical="center"/>
    </xf>
    <xf numFmtId="4" fontId="19" fillId="0" borderId="28" xfId="50" applyNumberFormat="1" applyFill="1" applyBorder="1" applyAlignment="1">
      <alignment horizontal="center" vertical="center"/>
    </xf>
    <xf numFmtId="3" fontId="19" fillId="41" borderId="28" xfId="50" applyNumberFormat="1" applyFill="1" applyBorder="1" applyAlignment="1">
      <alignment horizontal="center" vertical="center"/>
    </xf>
    <xf numFmtId="1" fontId="19" fillId="41" borderId="28" xfId="50" applyNumberFormat="1" applyFill="1" applyBorder="1" applyAlignment="1">
      <alignment horizontal="center" vertical="center"/>
    </xf>
    <xf numFmtId="0" fontId="19" fillId="0" borderId="28" xfId="0" applyFont="1" applyFill="1" applyBorder="1" applyAlignment="1">
      <alignment horizontal="center" vertical="center"/>
    </xf>
    <xf numFmtId="164" fontId="19" fillId="0" borderId="28" xfId="49" applyNumberFormat="1" applyFont="1" applyFill="1" applyBorder="1" applyAlignment="1">
      <alignment horizontal="center" vertical="center"/>
    </xf>
    <xf numFmtId="0" fontId="0" fillId="40" borderId="0" xfId="0" applyFill="1" applyBorder="1" applyAlignment="1">
      <alignment horizontal="center"/>
    </xf>
    <xf numFmtId="0" fontId="32" fillId="33" borderId="11" xfId="54" applyFont="1" applyFill="1" applyBorder="1" applyAlignment="1">
      <alignment vertical="center" wrapText="1"/>
    </xf>
    <xf numFmtId="0" fontId="32" fillId="33" borderId="12" xfId="54" applyFont="1" applyFill="1" applyBorder="1" applyAlignment="1">
      <alignment horizontal="right" vertical="center" wrapText="1"/>
    </xf>
    <xf numFmtId="0" fontId="32" fillId="33" borderId="13" xfId="54" applyFont="1" applyFill="1" applyBorder="1" applyAlignment="1">
      <alignment horizontal="right" vertical="center" wrapText="1"/>
    </xf>
    <xf numFmtId="0" fontId="24" fillId="34" borderId="14" xfId="54" applyFill="1" applyBorder="1" applyAlignment="1">
      <alignment vertical="center" wrapText="1"/>
    </xf>
    <xf numFmtId="0" fontId="24" fillId="34" borderId="10" xfId="54" applyFill="1" applyBorder="1" applyAlignment="1">
      <alignment horizontal="right" vertical="center" wrapText="1"/>
    </xf>
    <xf numFmtId="3" fontId="24" fillId="34" borderId="10" xfId="54" applyNumberFormat="1" applyFill="1" applyBorder="1" applyAlignment="1">
      <alignment horizontal="right" vertical="center" wrapText="1"/>
    </xf>
    <xf numFmtId="0" fontId="33" fillId="34" borderId="10" xfId="54" applyFont="1" applyFill="1" applyBorder="1" applyAlignment="1">
      <alignment horizontal="right" vertical="center" wrapText="1"/>
    </xf>
    <xf numFmtId="3" fontId="24" fillId="35" borderId="15" xfId="54" applyNumberFormat="1" applyFill="1" applyBorder="1" applyAlignment="1">
      <alignment horizontal="right" vertical="center" wrapText="1"/>
    </xf>
    <xf numFmtId="10" fontId="24" fillId="34" borderId="10" xfId="54" applyNumberFormat="1" applyFill="1" applyBorder="1" applyAlignment="1">
      <alignment horizontal="right" vertical="center" wrapText="1"/>
    </xf>
    <xf numFmtId="9" fontId="24" fillId="35" borderId="15" xfId="54" applyNumberFormat="1" applyFill="1" applyBorder="1" applyAlignment="1">
      <alignment horizontal="right" vertical="center" wrapText="1"/>
    </xf>
    <xf numFmtId="0" fontId="24" fillId="35" borderId="15" xfId="54" applyFill="1" applyBorder="1" applyAlignment="1">
      <alignment horizontal="right" vertical="center" wrapText="1"/>
    </xf>
    <xf numFmtId="0" fontId="24" fillId="36" borderId="14" xfId="54" applyFill="1" applyBorder="1" applyAlignment="1">
      <alignment vertical="center" wrapText="1"/>
    </xf>
    <xf numFmtId="0" fontId="24" fillId="36" borderId="10" xfId="54" applyFill="1" applyBorder="1" applyAlignment="1">
      <alignment horizontal="right" vertical="center" wrapText="1"/>
    </xf>
    <xf numFmtId="3" fontId="24" fillId="36" borderId="10" xfId="54" applyNumberFormat="1" applyFill="1" applyBorder="1" applyAlignment="1">
      <alignment horizontal="right" vertical="center" wrapText="1"/>
    </xf>
    <xf numFmtId="3" fontId="24" fillId="36" borderId="15" xfId="54" applyNumberFormat="1" applyFill="1" applyBorder="1" applyAlignment="1">
      <alignment horizontal="right" vertical="center" wrapText="1"/>
    </xf>
    <xf numFmtId="0" fontId="24" fillId="36" borderId="16" xfId="54" applyFill="1" applyBorder="1" applyAlignment="1">
      <alignment vertical="center" wrapText="1"/>
    </xf>
    <xf numFmtId="10" fontId="24" fillId="36" borderId="17" xfId="54" applyNumberFormat="1" applyFill="1" applyBorder="1" applyAlignment="1">
      <alignment horizontal="right" vertical="center" wrapText="1"/>
    </xf>
    <xf numFmtId="9" fontId="24" fillId="36" borderId="18" xfId="54" applyNumberFormat="1" applyFill="1" applyBorder="1" applyAlignment="1">
      <alignment horizontal="right" vertical="center" wrapText="1"/>
    </xf>
    <xf numFmtId="3" fontId="33" fillId="34" borderId="10" xfId="54" applyNumberFormat="1" applyFont="1" applyFill="1" applyBorder="1" applyAlignment="1">
      <alignment horizontal="right" vertical="center" wrapText="1"/>
    </xf>
    <xf numFmtId="0" fontId="20" fillId="0" borderId="0" xfId="42" applyFont="1" applyFill="1" applyBorder="1" applyAlignment="1">
      <alignment horizontal="center" wrapText="1"/>
    </xf>
    <xf numFmtId="0" fontId="24" fillId="0" borderId="28" xfId="54" applyBorder="1"/>
    <xf numFmtId="0" fontId="26" fillId="0" borderId="28" xfId="54" applyFont="1" applyBorder="1"/>
    <xf numFmtId="9" fontId="24" fillId="0" borderId="28" xfId="54" applyNumberFormat="1" applyBorder="1"/>
    <xf numFmtId="0" fontId="0" fillId="0" borderId="43" xfId="0" applyBorder="1" applyAlignment="1">
      <alignment wrapText="1"/>
    </xf>
    <xf numFmtId="0" fontId="0" fillId="0" borderId="110" xfId="0" applyBorder="1" applyAlignment="1">
      <alignment wrapText="1"/>
    </xf>
    <xf numFmtId="2" fontId="16" fillId="0" borderId="41" xfId="0" applyNumberFormat="1" applyFont="1" applyFill="1" applyBorder="1" applyAlignment="1">
      <alignment horizontal="center" wrapText="1"/>
    </xf>
    <xf numFmtId="0" fontId="16" fillId="0" borderId="111" xfId="0" applyFont="1" applyBorder="1" applyAlignment="1">
      <alignment wrapText="1"/>
    </xf>
    <xf numFmtId="4" fontId="0" fillId="0" borderId="28" xfId="0" applyNumberFormat="1" applyBorder="1" applyAlignment="1">
      <alignment horizontal="center"/>
    </xf>
    <xf numFmtId="0" fontId="0" fillId="0" borderId="79" xfId="0" applyBorder="1"/>
    <xf numFmtId="4" fontId="0" fillId="0" borderId="79" xfId="0" applyNumberFormat="1" applyBorder="1" applyAlignment="1">
      <alignment horizontal="center"/>
    </xf>
    <xf numFmtId="0" fontId="0" fillId="0" borderId="29" xfId="0" applyBorder="1"/>
    <xf numFmtId="3" fontId="0" fillId="0" borderId="29" xfId="0" applyNumberFormat="1" applyBorder="1" applyAlignment="1">
      <alignment horizontal="center"/>
    </xf>
    <xf numFmtId="0" fontId="0" fillId="0" borderId="62" xfId="0" applyBorder="1"/>
    <xf numFmtId="3" fontId="0" fillId="0" borderId="62" xfId="0" applyNumberFormat="1" applyBorder="1" applyAlignment="1">
      <alignment horizontal="center"/>
    </xf>
    <xf numFmtId="0" fontId="16" fillId="39" borderId="0" xfId="0" applyFont="1" applyFill="1" applyAlignment="1">
      <alignment horizontal="center" vertical="center" wrapText="1"/>
    </xf>
    <xf numFmtId="2" fontId="0" fillId="0" borderId="50" xfId="0" applyNumberFormat="1" applyFont="1" applyFill="1" applyBorder="1" applyAlignment="1">
      <alignment horizontal="center" wrapText="1"/>
    </xf>
    <xf numFmtId="2" fontId="16" fillId="0" borderId="51" xfId="0" applyNumberFormat="1" applyFont="1" applyFill="1" applyBorder="1" applyAlignment="1">
      <alignment horizontal="center" wrapText="1"/>
    </xf>
    <xf numFmtId="2" fontId="0" fillId="0" borderId="28" xfId="0" applyNumberFormat="1" applyBorder="1"/>
    <xf numFmtId="0" fontId="22" fillId="0" borderId="0" xfId="2187" applyFont="1"/>
    <xf numFmtId="0" fontId="24" fillId="0" borderId="0" xfId="2187"/>
    <xf numFmtId="0" fontId="45" fillId="0" borderId="0" xfId="2187" applyFont="1"/>
    <xf numFmtId="0" fontId="24" fillId="0" borderId="0" xfId="2187" applyAlignment="1">
      <alignment horizontal="right"/>
    </xf>
    <xf numFmtId="0" fontId="46" fillId="0" borderId="0" xfId="4059" applyFont="1"/>
    <xf numFmtId="0" fontId="1" fillId="0" borderId="0" xfId="4059"/>
    <xf numFmtId="0" fontId="46" fillId="0" borderId="0" xfId="4061" applyFont="1"/>
    <xf numFmtId="0" fontId="1" fillId="0" borderId="0" xfId="4061"/>
    <xf numFmtId="0" fontId="46" fillId="0" borderId="0" xfId="4055" applyFont="1"/>
    <xf numFmtId="0" fontId="1" fillId="0" borderId="0" xfId="4055"/>
    <xf numFmtId="0" fontId="80" fillId="0" borderId="0" xfId="45" applyFont="1"/>
    <xf numFmtId="0" fontId="1" fillId="44" borderId="23" xfId="4059" applyFill="1" applyBorder="1" applyAlignment="1">
      <alignment horizontal="center"/>
    </xf>
    <xf numFmtId="0" fontId="1" fillId="44" borderId="0" xfId="4059" applyFill="1" applyBorder="1" applyAlignment="1">
      <alignment horizontal="center"/>
    </xf>
    <xf numFmtId="0" fontId="1" fillId="44" borderId="69" xfId="4059" applyFill="1" applyBorder="1" applyAlignment="1">
      <alignment horizontal="center"/>
    </xf>
    <xf numFmtId="0" fontId="1" fillId="44" borderId="70" xfId="4059" applyFill="1" applyBorder="1" applyAlignment="1">
      <alignment horizontal="center"/>
    </xf>
    <xf numFmtId="0" fontId="1" fillId="44" borderId="24" xfId="4059" applyFont="1" applyFill="1" applyBorder="1" applyAlignment="1">
      <alignment horizontal="center"/>
    </xf>
    <xf numFmtId="0" fontId="1" fillId="44" borderId="23" xfId="4061" applyFill="1" applyBorder="1" applyAlignment="1">
      <alignment horizontal="center"/>
    </xf>
    <xf numFmtId="0" fontId="1" fillId="44" borderId="0" xfId="4061" applyFill="1" applyBorder="1" applyAlignment="1">
      <alignment horizontal="center"/>
    </xf>
    <xf numFmtId="0" fontId="1" fillId="44" borderId="69" xfId="4061" applyFill="1" applyBorder="1" applyAlignment="1">
      <alignment horizontal="center"/>
    </xf>
    <xf numFmtId="0" fontId="1" fillId="44" borderId="70" xfId="4061" applyFill="1" applyBorder="1" applyAlignment="1">
      <alignment horizontal="center"/>
    </xf>
    <xf numFmtId="0" fontId="1" fillId="44" borderId="24" xfId="4061" applyFont="1" applyFill="1" applyBorder="1" applyAlignment="1">
      <alignment horizontal="center"/>
    </xf>
    <xf numFmtId="0" fontId="1" fillId="44" borderId="23" xfId="4055" applyFill="1" applyBorder="1" applyAlignment="1">
      <alignment horizontal="center"/>
    </xf>
    <xf numFmtId="0" fontId="1" fillId="44" borderId="0" xfId="4055" applyFill="1" applyBorder="1" applyAlignment="1">
      <alignment horizontal="center"/>
    </xf>
    <xf numFmtId="0" fontId="1" fillId="44" borderId="69" xfId="4055" applyFill="1" applyBorder="1" applyAlignment="1">
      <alignment horizontal="center"/>
    </xf>
    <xf numFmtId="0" fontId="1" fillId="44" borderId="70" xfId="4055" applyFill="1" applyBorder="1" applyAlignment="1">
      <alignment horizontal="center"/>
    </xf>
    <xf numFmtId="0" fontId="1" fillId="44" borderId="24" xfId="4055" applyFont="1" applyFill="1" applyBorder="1" applyAlignment="1">
      <alignment horizontal="center"/>
    </xf>
    <xf numFmtId="0" fontId="1" fillId="44" borderId="25" xfId="4059" applyFill="1" applyBorder="1" applyAlignment="1">
      <alignment horizontal="center" wrapText="1"/>
    </xf>
    <xf numFmtId="0" fontId="1" fillId="44" borderId="26" xfId="4059" applyFill="1" applyBorder="1" applyAlignment="1">
      <alignment horizontal="center" wrapText="1"/>
    </xf>
    <xf numFmtId="0" fontId="1" fillId="44" borderId="71" xfId="4059" applyFill="1" applyBorder="1" applyAlignment="1">
      <alignment horizontal="center" wrapText="1"/>
    </xf>
    <xf numFmtId="0" fontId="1" fillId="44" borderId="72" xfId="4059" applyFill="1" applyBorder="1" applyAlignment="1">
      <alignment horizontal="center" wrapText="1"/>
    </xf>
    <xf numFmtId="0" fontId="25" fillId="44" borderId="71" xfId="4059" applyFont="1" applyFill="1" applyBorder="1" applyAlignment="1">
      <alignment horizontal="center" wrapText="1"/>
    </xf>
    <xf numFmtId="0" fontId="25" fillId="44" borderId="26" xfId="4059" applyFont="1" applyFill="1" applyBorder="1" applyAlignment="1">
      <alignment horizontal="center" wrapText="1"/>
    </xf>
    <xf numFmtId="0" fontId="25" fillId="44" borderId="72" xfId="4059" applyFont="1" applyFill="1" applyBorder="1" applyAlignment="1">
      <alignment horizontal="center" wrapText="1"/>
    </xf>
    <xf numFmtId="0" fontId="25" fillId="44" borderId="27" xfId="4059" applyFont="1" applyFill="1" applyBorder="1" applyAlignment="1">
      <alignment horizontal="center" wrapText="1"/>
    </xf>
    <xf numFmtId="0" fontId="1" fillId="44" borderId="25" xfId="4061" applyFill="1" applyBorder="1" applyAlignment="1">
      <alignment horizontal="center" wrapText="1"/>
    </xf>
    <xf numFmtId="0" fontId="1" fillId="44" borderId="26" xfId="4061" applyFill="1" applyBorder="1" applyAlignment="1">
      <alignment horizontal="center" wrapText="1"/>
    </xf>
    <xf numFmtId="0" fontId="1" fillId="44" borderId="71" xfId="4061" applyFill="1" applyBorder="1" applyAlignment="1">
      <alignment horizontal="center" wrapText="1"/>
    </xf>
    <xf numFmtId="0" fontId="1" fillId="44" borderId="72" xfId="4061" applyFill="1" applyBorder="1" applyAlignment="1">
      <alignment horizontal="center" wrapText="1"/>
    </xf>
    <xf numFmtId="0" fontId="25" fillId="44" borderId="71" xfId="4061" applyFont="1" applyFill="1" applyBorder="1" applyAlignment="1">
      <alignment horizontal="center" wrapText="1"/>
    </xf>
    <xf numFmtId="0" fontId="25" fillId="44" borderId="26" xfId="4061" applyFont="1" applyFill="1" applyBorder="1" applyAlignment="1">
      <alignment horizontal="center" wrapText="1"/>
    </xf>
    <xf numFmtId="0" fontId="25" fillId="44" borderId="72" xfId="4061" applyFont="1" applyFill="1" applyBorder="1" applyAlignment="1">
      <alignment horizontal="center" wrapText="1"/>
    </xf>
    <xf numFmtId="0" fontId="25" fillId="44" borderId="27" xfId="4061" applyFont="1" applyFill="1" applyBorder="1" applyAlignment="1">
      <alignment horizontal="center" wrapText="1"/>
    </xf>
    <xf numFmtId="0" fontId="1" fillId="44" borderId="25" xfId="4055" applyFill="1" applyBorder="1" applyAlignment="1">
      <alignment horizontal="center" wrapText="1"/>
    </xf>
    <xf numFmtId="0" fontId="1" fillId="44" borderId="26" xfId="4055" applyFill="1" applyBorder="1" applyAlignment="1">
      <alignment horizontal="center" wrapText="1"/>
    </xf>
    <xf numFmtId="0" fontId="1" fillId="44" borderId="71" xfId="4055" applyFill="1" applyBorder="1" applyAlignment="1">
      <alignment horizontal="center" wrapText="1"/>
    </xf>
    <xf numFmtId="0" fontId="1" fillId="44" borderId="72" xfId="4055" applyFill="1" applyBorder="1" applyAlignment="1">
      <alignment horizontal="center" wrapText="1"/>
    </xf>
    <xf numFmtId="0" fontId="25" fillId="44" borderId="71" xfId="4055" applyFont="1" applyFill="1" applyBorder="1" applyAlignment="1">
      <alignment horizontal="center" wrapText="1"/>
    </xf>
    <xf numFmtId="0" fontId="25" fillId="44" borderId="26" xfId="4055" applyFont="1" applyFill="1" applyBorder="1" applyAlignment="1">
      <alignment horizontal="center" wrapText="1"/>
    </xf>
    <xf numFmtId="0" fontId="25" fillId="44" borderId="72" xfId="4055" applyFont="1" applyFill="1" applyBorder="1" applyAlignment="1">
      <alignment horizontal="center" wrapText="1"/>
    </xf>
    <xf numFmtId="0" fontId="25" fillId="44" borderId="27" xfId="4055" applyFont="1" applyFill="1" applyBorder="1" applyAlignment="1">
      <alignment horizontal="center" wrapText="1"/>
    </xf>
    <xf numFmtId="0" fontId="1" fillId="0" borderId="59" xfId="4059" applyBorder="1" applyAlignment="1">
      <alignment horizontal="center"/>
    </xf>
    <xf numFmtId="0" fontId="1" fillId="0" borderId="0" xfId="4059" applyAlignment="1">
      <alignment horizontal="center"/>
    </xf>
    <xf numFmtId="0" fontId="1" fillId="0" borderId="66" xfId="4059" applyBorder="1" applyAlignment="1">
      <alignment horizontal="center"/>
    </xf>
    <xf numFmtId="0" fontId="1" fillId="0" borderId="67" xfId="4059" applyNumberFormat="1" applyBorder="1" applyAlignment="1">
      <alignment horizontal="center"/>
    </xf>
    <xf numFmtId="0" fontId="1" fillId="0" borderId="68" xfId="4059" applyNumberFormat="1" applyBorder="1" applyAlignment="1">
      <alignment horizontal="center"/>
    </xf>
    <xf numFmtId="171" fontId="1" fillId="0" borderId="0" xfId="4059" applyNumberFormat="1" applyBorder="1" applyAlignment="1">
      <alignment horizontal="center"/>
    </xf>
    <xf numFmtId="2" fontId="1" fillId="0" borderId="68" xfId="4059" applyNumberFormat="1" applyBorder="1" applyAlignment="1">
      <alignment horizontal="center"/>
    </xf>
    <xf numFmtId="0" fontId="1" fillId="0" borderId="66" xfId="4059" applyNumberFormat="1" applyBorder="1" applyAlignment="1">
      <alignment horizontal="center"/>
    </xf>
    <xf numFmtId="0" fontId="1" fillId="0" borderId="60" xfId="4059" applyNumberFormat="1" applyBorder="1" applyAlignment="1">
      <alignment horizontal="center"/>
    </xf>
    <xf numFmtId="0" fontId="1" fillId="0" borderId="59" xfId="4061" applyBorder="1" applyAlignment="1">
      <alignment horizontal="center"/>
    </xf>
    <xf numFmtId="0" fontId="1" fillId="0" borderId="0" xfId="4061" applyAlignment="1">
      <alignment horizontal="center"/>
    </xf>
    <xf numFmtId="0" fontId="1" fillId="0" borderId="66" xfId="4061" applyBorder="1" applyAlignment="1">
      <alignment horizontal="center"/>
    </xf>
    <xf numFmtId="0" fontId="1" fillId="0" borderId="67" xfId="4061" applyNumberFormat="1" applyBorder="1" applyAlignment="1">
      <alignment horizontal="center"/>
    </xf>
    <xf numFmtId="0" fontId="1" fillId="0" borderId="68" xfId="4061" applyNumberFormat="1" applyBorder="1" applyAlignment="1">
      <alignment horizontal="center"/>
    </xf>
    <xf numFmtId="171" fontId="1" fillId="0" borderId="0" xfId="4061" applyNumberFormat="1" applyBorder="1" applyAlignment="1">
      <alignment horizontal="center"/>
    </xf>
    <xf numFmtId="2" fontId="1" fillId="0" borderId="68" xfId="4061" applyNumberFormat="1" applyBorder="1" applyAlignment="1">
      <alignment horizontal="center"/>
    </xf>
    <xf numFmtId="0" fontId="1" fillId="0" borderId="66" xfId="4061" applyNumberFormat="1" applyBorder="1" applyAlignment="1">
      <alignment horizontal="center"/>
    </xf>
    <xf numFmtId="0" fontId="1" fillId="0" borderId="60" xfId="4061" applyNumberFormat="1" applyBorder="1" applyAlignment="1">
      <alignment horizontal="center"/>
    </xf>
    <xf numFmtId="0" fontId="1" fillId="0" borderId="59" xfId="4055" applyBorder="1" applyAlignment="1">
      <alignment horizontal="center"/>
    </xf>
    <xf numFmtId="0" fontId="1" fillId="0" borderId="0" xfId="4055" applyAlignment="1">
      <alignment horizontal="center"/>
    </xf>
    <xf numFmtId="0" fontId="1" fillId="0" borderId="66" xfId="4055" applyBorder="1" applyAlignment="1">
      <alignment horizontal="center"/>
    </xf>
    <xf numFmtId="0" fontId="1" fillId="0" borderId="67" xfId="4055" applyNumberFormat="1" applyBorder="1" applyAlignment="1">
      <alignment horizontal="center"/>
    </xf>
    <xf numFmtId="0" fontId="1" fillId="0" borderId="68" xfId="4055" applyNumberFormat="1" applyBorder="1" applyAlignment="1">
      <alignment horizontal="center"/>
    </xf>
    <xf numFmtId="171" fontId="1" fillId="0" borderId="0" xfId="4055" applyNumberFormat="1" applyBorder="1" applyAlignment="1">
      <alignment horizontal="center"/>
    </xf>
    <xf numFmtId="2" fontId="1" fillId="0" borderId="68" xfId="4055" applyNumberFormat="1" applyBorder="1" applyAlignment="1">
      <alignment horizontal="center"/>
    </xf>
    <xf numFmtId="0" fontId="1" fillId="0" borderId="66" xfId="4055" applyNumberFormat="1" applyBorder="1" applyAlignment="1">
      <alignment horizontal="center"/>
    </xf>
    <xf numFmtId="0" fontId="1" fillId="0" borderId="60" xfId="4055" applyNumberFormat="1" applyBorder="1" applyAlignment="1">
      <alignment horizontal="center"/>
    </xf>
    <xf numFmtId="0" fontId="1" fillId="0" borderId="23" xfId="4059" applyBorder="1" applyAlignment="1">
      <alignment horizontal="center"/>
    </xf>
    <xf numFmtId="0" fontId="1" fillId="0" borderId="0" xfId="4059" applyBorder="1" applyAlignment="1">
      <alignment horizontal="center"/>
    </xf>
    <xf numFmtId="0" fontId="1" fillId="0" borderId="69" xfId="4059" applyNumberFormat="1" applyBorder="1" applyAlignment="1">
      <alignment horizontal="center"/>
    </xf>
    <xf numFmtId="0" fontId="1" fillId="0" borderId="70" xfId="4059" applyNumberFormat="1" applyBorder="1" applyAlignment="1">
      <alignment horizontal="center"/>
    </xf>
    <xf numFmtId="2" fontId="1" fillId="0" borderId="70" xfId="4059" applyNumberFormat="1" applyBorder="1" applyAlignment="1">
      <alignment horizontal="center"/>
    </xf>
    <xf numFmtId="0" fontId="1" fillId="0" borderId="0" xfId="4059" applyNumberFormat="1" applyBorder="1" applyAlignment="1">
      <alignment horizontal="center"/>
    </xf>
    <xf numFmtId="0" fontId="1" fillId="0" borderId="24" xfId="4059" applyNumberFormat="1" applyBorder="1" applyAlignment="1">
      <alignment horizontal="center"/>
    </xf>
    <xf numFmtId="0" fontId="1" fillId="0" borderId="23" xfId="4061" applyBorder="1" applyAlignment="1">
      <alignment horizontal="center"/>
    </xf>
    <xf numFmtId="0" fontId="1" fillId="0" borderId="0" xfId="4061" applyBorder="1" applyAlignment="1">
      <alignment horizontal="center"/>
    </xf>
    <xf numFmtId="0" fontId="1" fillId="0" borderId="69" xfId="4061" applyNumberFormat="1" applyBorder="1" applyAlignment="1">
      <alignment horizontal="center"/>
    </xf>
    <xf numFmtId="0" fontId="1" fillId="0" borderId="70" xfId="4061" applyNumberFormat="1" applyBorder="1" applyAlignment="1">
      <alignment horizontal="center"/>
    </xf>
    <xf numFmtId="2" fontId="1" fillId="0" borderId="70" xfId="4061" applyNumberFormat="1" applyBorder="1" applyAlignment="1">
      <alignment horizontal="center"/>
    </xf>
    <xf numFmtId="0" fontId="1" fillId="0" borderId="0" xfId="4061" applyNumberFormat="1" applyBorder="1" applyAlignment="1">
      <alignment horizontal="center"/>
    </xf>
    <xf numFmtId="0" fontId="1" fillId="0" borderId="24" xfId="4061" applyNumberFormat="1" applyBorder="1" applyAlignment="1">
      <alignment horizontal="center"/>
    </xf>
    <xf numFmtId="0" fontId="1" fillId="0" borderId="23" xfId="4055" applyBorder="1" applyAlignment="1">
      <alignment horizontal="center"/>
    </xf>
    <xf numFmtId="0" fontId="1" fillId="0" borderId="0" xfId="4055" applyBorder="1" applyAlignment="1">
      <alignment horizontal="center"/>
    </xf>
    <xf numFmtId="0" fontId="1" fillId="0" borderId="69" xfId="4055" applyNumberFormat="1" applyBorder="1" applyAlignment="1">
      <alignment horizontal="center"/>
    </xf>
    <xf numFmtId="0" fontId="1" fillId="0" borderId="70" xfId="4055" applyNumberFormat="1" applyBorder="1" applyAlignment="1">
      <alignment horizontal="center"/>
    </xf>
    <xf numFmtId="2" fontId="1" fillId="0" borderId="70" xfId="4055" applyNumberFormat="1" applyBorder="1" applyAlignment="1">
      <alignment horizontal="center"/>
    </xf>
    <xf numFmtId="0" fontId="1" fillId="0" borderId="0" xfId="4055" applyNumberFormat="1" applyBorder="1" applyAlignment="1">
      <alignment horizontal="center"/>
    </xf>
    <xf numFmtId="0" fontId="1" fillId="0" borderId="24" xfId="4055" applyNumberFormat="1" applyBorder="1" applyAlignment="1">
      <alignment horizontal="center"/>
    </xf>
    <xf numFmtId="0" fontId="1" fillId="37" borderId="0" xfId="4059" applyFill="1" applyBorder="1" applyAlignment="1">
      <alignment horizontal="center"/>
    </xf>
    <xf numFmtId="0" fontId="1" fillId="37" borderId="0" xfId="4059" applyNumberFormat="1" applyFill="1" applyBorder="1" applyAlignment="1">
      <alignment horizontal="center"/>
    </xf>
    <xf numFmtId="0" fontId="1" fillId="37" borderId="24" xfId="4059" applyNumberFormat="1" applyFill="1" applyBorder="1" applyAlignment="1">
      <alignment horizontal="center"/>
    </xf>
    <xf numFmtId="0" fontId="1" fillId="37" borderId="0" xfId="4061" applyFill="1" applyBorder="1" applyAlignment="1">
      <alignment horizontal="center"/>
    </xf>
    <xf numFmtId="0" fontId="1" fillId="37" borderId="0" xfId="4061" applyNumberFormat="1" applyFill="1" applyBorder="1" applyAlignment="1">
      <alignment horizontal="center"/>
    </xf>
    <xf numFmtId="0" fontId="1" fillId="37" borderId="24" xfId="4061" applyNumberFormat="1" applyFill="1" applyBorder="1" applyAlignment="1">
      <alignment horizontal="center"/>
    </xf>
    <xf numFmtId="0" fontId="1" fillId="37" borderId="0" xfId="4055" applyFill="1" applyBorder="1" applyAlignment="1">
      <alignment horizontal="center"/>
    </xf>
    <xf numFmtId="0" fontId="1" fillId="37" borderId="0" xfId="4055" applyNumberFormat="1" applyFill="1" applyBorder="1" applyAlignment="1">
      <alignment horizontal="center"/>
    </xf>
    <xf numFmtId="0" fontId="1" fillId="37" borderId="24" xfId="4055" applyNumberFormat="1" applyFill="1" applyBorder="1" applyAlignment="1">
      <alignment horizontal="center"/>
    </xf>
    <xf numFmtId="0" fontId="1" fillId="0" borderId="73" xfId="4059" applyBorder="1" applyAlignment="1">
      <alignment horizontal="center"/>
    </xf>
    <xf numFmtId="0" fontId="1" fillId="0" borderId="74" xfId="4059" applyBorder="1" applyAlignment="1">
      <alignment horizontal="center"/>
    </xf>
    <xf numFmtId="0" fontId="1" fillId="0" borderId="75" xfId="4059" applyNumberFormat="1" applyBorder="1" applyAlignment="1">
      <alignment horizontal="center"/>
    </xf>
    <xf numFmtId="0" fontId="1" fillId="0" borderId="76" xfId="4059" applyNumberFormat="1" applyBorder="1" applyAlignment="1">
      <alignment horizontal="center"/>
    </xf>
    <xf numFmtId="171" fontId="1" fillId="0" borderId="75" xfId="4059" applyNumberFormat="1" applyBorder="1" applyAlignment="1">
      <alignment horizontal="center"/>
    </xf>
    <xf numFmtId="171" fontId="1" fillId="0" borderId="74" xfId="4059" applyNumberFormat="1" applyBorder="1" applyAlignment="1">
      <alignment horizontal="center"/>
    </xf>
    <xf numFmtId="2" fontId="1" fillId="0" borderId="76" xfId="4059" applyNumberFormat="1" applyBorder="1" applyAlignment="1">
      <alignment horizontal="center"/>
    </xf>
    <xf numFmtId="0" fontId="1" fillId="0" borderId="74" xfId="4059" applyNumberFormat="1" applyBorder="1" applyAlignment="1">
      <alignment horizontal="center"/>
    </xf>
    <xf numFmtId="0" fontId="1" fillId="0" borderId="77" xfId="4059" applyNumberFormat="1" applyBorder="1" applyAlignment="1">
      <alignment horizontal="center"/>
    </xf>
    <xf numFmtId="0" fontId="1" fillId="0" borderId="73" xfId="4061" applyBorder="1" applyAlignment="1">
      <alignment horizontal="center"/>
    </xf>
    <xf numFmtId="0" fontId="1" fillId="0" borderId="74" xfId="4061" applyBorder="1" applyAlignment="1">
      <alignment horizontal="center"/>
    </xf>
    <xf numFmtId="0" fontId="1" fillId="0" borderId="75" xfId="4061" applyNumberFormat="1" applyBorder="1" applyAlignment="1">
      <alignment horizontal="center"/>
    </xf>
    <xf numFmtId="0" fontId="1" fillId="0" borderId="76" xfId="4061" applyNumberFormat="1" applyBorder="1" applyAlignment="1">
      <alignment horizontal="center"/>
    </xf>
    <xf numFmtId="171" fontId="1" fillId="0" borderId="75" xfId="4061" applyNumberFormat="1" applyBorder="1" applyAlignment="1">
      <alignment horizontal="center"/>
    </xf>
    <xf numFmtId="171" fontId="1" fillId="0" borderId="74" xfId="4061" applyNumberFormat="1" applyBorder="1" applyAlignment="1">
      <alignment horizontal="center"/>
    </xf>
    <xf numFmtId="2" fontId="1" fillId="0" borderId="76" xfId="4061" applyNumberFormat="1" applyBorder="1" applyAlignment="1">
      <alignment horizontal="center"/>
    </xf>
    <xf numFmtId="0" fontId="1" fillId="0" borderId="74" xfId="4061" applyNumberFormat="1" applyBorder="1" applyAlignment="1">
      <alignment horizontal="center"/>
    </xf>
    <xf numFmtId="0" fontId="1" fillId="0" borderId="77" xfId="4061" applyNumberFormat="1" applyBorder="1" applyAlignment="1">
      <alignment horizontal="center"/>
    </xf>
    <xf numFmtId="0" fontId="1" fillId="0" borderId="73" xfId="4055" applyBorder="1" applyAlignment="1">
      <alignment horizontal="center"/>
    </xf>
    <xf numFmtId="0" fontId="1" fillId="0" borderId="74" xfId="4055" applyBorder="1" applyAlignment="1">
      <alignment horizontal="center"/>
    </xf>
    <xf numFmtId="0" fontId="1" fillId="0" borderId="75" xfId="4055" applyNumberFormat="1" applyBorder="1" applyAlignment="1">
      <alignment horizontal="center"/>
    </xf>
    <xf numFmtId="0" fontId="1" fillId="0" borderId="76" xfId="4055" applyNumberFormat="1" applyBorder="1" applyAlignment="1">
      <alignment horizontal="center"/>
    </xf>
    <xf numFmtId="171" fontId="1" fillId="0" borderId="75" xfId="4055" applyNumberFormat="1" applyBorder="1" applyAlignment="1">
      <alignment horizontal="center"/>
    </xf>
    <xf numFmtId="171" fontId="1" fillId="0" borderId="74" xfId="4055" applyNumberFormat="1" applyBorder="1" applyAlignment="1">
      <alignment horizontal="center"/>
    </xf>
    <xf numFmtId="2" fontId="1" fillId="0" borderId="76" xfId="4055" applyNumberFormat="1" applyBorder="1" applyAlignment="1">
      <alignment horizontal="center"/>
    </xf>
    <xf numFmtId="0" fontId="1" fillId="0" borderId="74" xfId="4055" applyNumberFormat="1" applyBorder="1" applyAlignment="1">
      <alignment horizontal="center"/>
    </xf>
    <xf numFmtId="0" fontId="1" fillId="0" borderId="77" xfId="4055" applyNumberFormat="1" applyBorder="1" applyAlignment="1">
      <alignment horizontal="center"/>
    </xf>
    <xf numFmtId="2" fontId="1" fillId="0" borderId="110" xfId="4059" applyNumberFormat="1" applyBorder="1" applyAlignment="1">
      <alignment horizontal="center"/>
    </xf>
    <xf numFmtId="2" fontId="1" fillId="0" borderId="110" xfId="4061" applyNumberFormat="1" applyBorder="1" applyAlignment="1">
      <alignment horizontal="center"/>
    </xf>
    <xf numFmtId="2" fontId="1" fillId="0" borderId="110" xfId="4055" applyNumberFormat="1" applyBorder="1" applyAlignment="1">
      <alignment horizontal="center"/>
    </xf>
    <xf numFmtId="0" fontId="1" fillId="0" borderId="25" xfId="4059" applyBorder="1" applyAlignment="1">
      <alignment horizontal="center"/>
    </xf>
    <xf numFmtId="0" fontId="1" fillId="0" borderId="26" xfId="4059" applyBorder="1" applyAlignment="1">
      <alignment horizontal="center"/>
    </xf>
    <xf numFmtId="0" fontId="1" fillId="37" borderId="26" xfId="4059" applyFill="1" applyBorder="1" applyAlignment="1">
      <alignment horizontal="center"/>
    </xf>
    <xf numFmtId="0" fontId="1" fillId="0" borderId="71" xfId="4059" applyNumberFormat="1" applyBorder="1" applyAlignment="1">
      <alignment horizontal="center"/>
    </xf>
    <xf numFmtId="0" fontId="1" fillId="0" borderId="72" xfId="4059" applyNumberFormat="1" applyBorder="1" applyAlignment="1">
      <alignment horizontal="center"/>
    </xf>
    <xf numFmtId="171" fontId="1" fillId="0" borderId="26" xfId="4059" applyNumberFormat="1" applyBorder="1" applyAlignment="1">
      <alignment horizontal="center"/>
    </xf>
    <xf numFmtId="2" fontId="1" fillId="0" borderId="72" xfId="4059" applyNumberFormat="1" applyBorder="1" applyAlignment="1">
      <alignment horizontal="center"/>
    </xf>
    <xf numFmtId="0" fontId="1" fillId="37" borderId="26" xfId="4059" applyNumberFormat="1" applyFill="1" applyBorder="1" applyAlignment="1">
      <alignment horizontal="center"/>
    </xf>
    <xf numFmtId="0" fontId="1" fillId="37" borderId="27" xfId="4059" applyNumberFormat="1" applyFill="1" applyBorder="1" applyAlignment="1">
      <alignment horizontal="center"/>
    </xf>
    <xf numFmtId="0" fontId="1" fillId="0" borderId="25" xfId="4061" applyBorder="1" applyAlignment="1">
      <alignment horizontal="center"/>
    </xf>
    <xf numFmtId="0" fontId="1" fillId="0" borderId="26" xfId="4061" applyBorder="1" applyAlignment="1">
      <alignment horizontal="center"/>
    </xf>
    <xf numFmtId="0" fontId="1" fillId="37" borderId="26" xfId="4061" applyFill="1" applyBorder="1" applyAlignment="1">
      <alignment horizontal="center"/>
    </xf>
    <xf numFmtId="0" fontId="1" fillId="0" borderId="71" xfId="4061" applyNumberFormat="1" applyBorder="1" applyAlignment="1">
      <alignment horizontal="center"/>
    </xf>
    <xf numFmtId="0" fontId="1" fillId="0" borderId="72" xfId="4061" applyNumberFormat="1" applyBorder="1" applyAlignment="1">
      <alignment horizontal="center"/>
    </xf>
    <xf numFmtId="171" fontId="1" fillId="0" borderId="26" xfId="4061" applyNumberFormat="1" applyBorder="1" applyAlignment="1">
      <alignment horizontal="center"/>
    </xf>
    <xf numFmtId="2" fontId="1" fillId="0" borderId="72" xfId="4061" applyNumberFormat="1" applyBorder="1" applyAlignment="1">
      <alignment horizontal="center"/>
    </xf>
    <xf numFmtId="0" fontId="1" fillId="37" borderId="26" xfId="4061" applyNumberFormat="1" applyFill="1" applyBorder="1" applyAlignment="1">
      <alignment horizontal="center"/>
    </xf>
    <xf numFmtId="0" fontId="1" fillId="37" borderId="27" xfId="4061" applyNumberFormat="1" applyFill="1" applyBorder="1" applyAlignment="1">
      <alignment horizontal="center"/>
    </xf>
    <xf numFmtId="0" fontId="1" fillId="0" borderId="25" xfId="4055" applyBorder="1" applyAlignment="1">
      <alignment horizontal="center"/>
    </xf>
    <xf numFmtId="0" fontId="1" fillId="0" borderId="26" xfId="4055" applyBorder="1" applyAlignment="1">
      <alignment horizontal="center"/>
    </xf>
    <xf numFmtId="0" fontId="1" fillId="37" borderId="26" xfId="4055" applyFill="1" applyBorder="1" applyAlignment="1">
      <alignment horizontal="center"/>
    </xf>
    <xf numFmtId="0" fontId="1" fillId="0" borderId="71" xfId="4055" applyNumberFormat="1" applyBorder="1" applyAlignment="1">
      <alignment horizontal="center"/>
    </xf>
    <xf numFmtId="0" fontId="1" fillId="0" borderId="72" xfId="4055" applyNumberFormat="1" applyBorder="1" applyAlignment="1">
      <alignment horizontal="center"/>
    </xf>
    <xf numFmtId="171" fontId="1" fillId="0" borderId="26" xfId="4055" applyNumberFormat="1" applyBorder="1" applyAlignment="1">
      <alignment horizontal="center"/>
    </xf>
    <xf numFmtId="2" fontId="1" fillId="0" borderId="72" xfId="4055" applyNumberFormat="1" applyBorder="1" applyAlignment="1">
      <alignment horizontal="center"/>
    </xf>
    <xf numFmtId="0" fontId="1" fillId="37" borderId="26" xfId="4055" applyNumberFormat="1" applyFill="1" applyBorder="1" applyAlignment="1">
      <alignment horizontal="center"/>
    </xf>
    <xf numFmtId="0" fontId="1" fillId="37" borderId="27" xfId="4055" applyNumberFormat="1" applyFill="1" applyBorder="1" applyAlignment="1">
      <alignment horizontal="center"/>
    </xf>
    <xf numFmtId="0" fontId="24" fillId="0" borderId="0" xfId="2187" applyAlignment="1">
      <alignment vertical="center"/>
    </xf>
    <xf numFmtId="0" fontId="26" fillId="0" borderId="0" xfId="2187" applyFont="1" applyFill="1" applyBorder="1" applyAlignment="1">
      <alignment horizontal="left" vertical="center"/>
    </xf>
    <xf numFmtId="0" fontId="26" fillId="39" borderId="63" xfId="2187" applyFont="1" applyFill="1" applyBorder="1" applyAlignment="1">
      <alignment vertical="center"/>
    </xf>
    <xf numFmtId="0" fontId="26" fillId="39" borderId="64" xfId="2187" applyFont="1" applyFill="1" applyBorder="1" applyAlignment="1">
      <alignment vertical="center"/>
    </xf>
    <xf numFmtId="0" fontId="26" fillId="39" borderId="43" xfId="2187" applyFont="1" applyFill="1" applyBorder="1" applyAlignment="1">
      <alignment horizontal="center" vertical="center"/>
    </xf>
    <xf numFmtId="0" fontId="26" fillId="39" borderId="28" xfId="2187" applyFont="1" applyFill="1" applyBorder="1" applyAlignment="1">
      <alignment horizontal="center" vertical="center"/>
    </xf>
    <xf numFmtId="0" fontId="26" fillId="39" borderId="81" xfId="2187" applyFont="1" applyFill="1" applyBorder="1" applyAlignment="1">
      <alignment horizontal="center" vertical="center"/>
    </xf>
    <xf numFmtId="0" fontId="24" fillId="0" borderId="64" xfId="2187" applyBorder="1" applyAlignment="1">
      <alignment horizontal="right" vertical="center"/>
    </xf>
    <xf numFmtId="0" fontId="24" fillId="0" borderId="43" xfId="2187" applyBorder="1" applyAlignment="1">
      <alignment horizontal="center" vertical="center"/>
    </xf>
    <xf numFmtId="171" fontId="24" fillId="0" borderId="43" xfId="2187" applyNumberFormat="1" applyBorder="1" applyAlignment="1">
      <alignment horizontal="center" vertical="center"/>
    </xf>
    <xf numFmtId="0" fontId="24" fillId="0" borderId="65" xfId="2187" applyBorder="1" applyAlignment="1">
      <alignment horizontal="right" vertical="center"/>
    </xf>
    <xf numFmtId="0" fontId="24" fillId="0" borderId="82" xfId="2187" applyBorder="1" applyAlignment="1">
      <alignment horizontal="center" vertical="center"/>
    </xf>
    <xf numFmtId="0" fontId="24" fillId="0" borderId="65" xfId="2187" applyBorder="1" applyAlignment="1">
      <alignment horizontal="right" vertical="center" wrapText="1"/>
    </xf>
    <xf numFmtId="0" fontId="26" fillId="0" borderId="0" xfId="2187" applyFont="1"/>
    <xf numFmtId="0" fontId="24" fillId="0" borderId="28" xfId="2187" applyBorder="1"/>
    <xf numFmtId="0" fontId="26" fillId="0" borderId="28" xfId="2187" applyFont="1" applyBorder="1"/>
    <xf numFmtId="171" fontId="24" fillId="0" borderId="28" xfId="2187" applyNumberFormat="1" applyBorder="1"/>
    <xf numFmtId="2" fontId="37" fillId="0" borderId="116" xfId="0" applyNumberFormat="1" applyFont="1" applyFill="1" applyBorder="1" applyAlignment="1">
      <alignment horizontal="center" wrapText="1"/>
    </xf>
    <xf numFmtId="0" fontId="26" fillId="37" borderId="43" xfId="0" applyFont="1" applyFill="1" applyBorder="1" applyAlignment="1">
      <alignment horizontal="center" wrapText="1"/>
    </xf>
    <xf numFmtId="2" fontId="37" fillId="0" borderId="111" xfId="0" applyNumberFormat="1" applyFont="1" applyFill="1" applyBorder="1" applyAlignment="1">
      <alignment horizontal="center" wrapText="1"/>
    </xf>
    <xf numFmtId="0" fontId="0" fillId="39" borderId="0" xfId="0" applyFill="1" applyBorder="1" applyAlignment="1">
      <alignment horizontal="center" wrapText="1"/>
    </xf>
    <xf numFmtId="0" fontId="0" fillId="39" borderId="62" xfId="0" applyFill="1" applyBorder="1" applyAlignment="1">
      <alignment horizontal="center" wrapText="1"/>
    </xf>
    <xf numFmtId="0" fontId="26" fillId="39" borderId="62" xfId="0" applyFont="1" applyFill="1" applyBorder="1" applyAlignment="1">
      <alignment horizontal="center" wrapText="1"/>
    </xf>
    <xf numFmtId="0" fontId="26" fillId="39" borderId="110" xfId="0" applyFont="1" applyFill="1" applyBorder="1" applyAlignment="1">
      <alignment horizontal="center" wrapText="1"/>
    </xf>
    <xf numFmtId="0" fontId="27" fillId="39" borderId="100" xfId="0" applyFont="1" applyFill="1" applyBorder="1" applyAlignment="1">
      <alignment horizontal="center" wrapText="1"/>
    </xf>
    <xf numFmtId="0" fontId="0" fillId="0" borderId="34" xfId="0" applyBorder="1" applyAlignment="1">
      <alignment wrapText="1"/>
    </xf>
    <xf numFmtId="2" fontId="0" fillId="0" borderId="117" xfId="0" applyNumberFormat="1" applyFont="1" applyFill="1" applyBorder="1" applyAlignment="1">
      <alignment horizontal="center" wrapText="1"/>
    </xf>
    <xf numFmtId="2" fontId="0" fillId="0" borderId="34" xfId="0" applyNumberFormat="1" applyFont="1" applyFill="1" applyBorder="1" applyAlignment="1">
      <alignment horizontal="center" wrapText="1"/>
    </xf>
    <xf numFmtId="0" fontId="26" fillId="37" borderId="62" xfId="0" applyFont="1" applyFill="1" applyBorder="1" applyAlignment="1">
      <alignment horizontal="center" wrapText="1"/>
    </xf>
    <xf numFmtId="0" fontId="16" fillId="37" borderId="62" xfId="0" applyFont="1" applyFill="1" applyBorder="1" applyAlignment="1">
      <alignment horizontal="center" wrapText="1"/>
    </xf>
    <xf numFmtId="2" fontId="0" fillId="0" borderId="35" xfId="0" applyNumberFormat="1" applyBorder="1"/>
    <xf numFmtId="1" fontId="0" fillId="0" borderId="36" xfId="0" applyNumberFormat="1" applyBorder="1"/>
    <xf numFmtId="1" fontId="0" fillId="0" borderId="39" xfId="0" applyNumberFormat="1" applyBorder="1"/>
    <xf numFmtId="2" fontId="16" fillId="37" borderId="118" xfId="0" applyNumberFormat="1" applyFont="1" applyFill="1" applyBorder="1"/>
    <xf numFmtId="1" fontId="16" fillId="37" borderId="42" xfId="0" applyNumberFormat="1" applyFont="1" applyFill="1" applyBorder="1"/>
    <xf numFmtId="2" fontId="16" fillId="37" borderId="118" xfId="0" applyNumberFormat="1" applyFont="1" applyFill="1" applyBorder="1" applyAlignment="1">
      <alignment horizontal="right" wrapText="1"/>
    </xf>
    <xf numFmtId="1" fontId="16" fillId="37" borderId="42" xfId="0" applyNumberFormat="1" applyFont="1" applyFill="1" applyBorder="1" applyAlignment="1">
      <alignment horizontal="right" wrapText="1"/>
    </xf>
    <xf numFmtId="0" fontId="0" fillId="0" borderId="123" xfId="0" applyBorder="1"/>
    <xf numFmtId="0" fontId="0" fillId="0" borderId="124" xfId="0" applyBorder="1"/>
    <xf numFmtId="0" fontId="0" fillId="0" borderId="125" xfId="0" applyBorder="1"/>
    <xf numFmtId="0" fontId="0" fillId="0" borderId="127" xfId="0" applyBorder="1"/>
    <xf numFmtId="0" fontId="0" fillId="0" borderId="128" xfId="0" applyBorder="1"/>
    <xf numFmtId="0" fontId="0" fillId="0" borderId="129" xfId="0" applyBorder="1"/>
    <xf numFmtId="0" fontId="0" fillId="0" borderId="119" xfId="0" applyBorder="1"/>
    <xf numFmtId="0" fontId="0" fillId="0" borderId="120" xfId="0" applyBorder="1"/>
    <xf numFmtId="0" fontId="0" fillId="0" borderId="131" xfId="0" applyBorder="1"/>
    <xf numFmtId="0" fontId="0" fillId="0" borderId="121" xfId="0" applyBorder="1"/>
    <xf numFmtId="0" fontId="0" fillId="0" borderId="122" xfId="0" applyBorder="1"/>
    <xf numFmtId="175" fontId="0" fillId="0" borderId="138" xfId="4240" applyNumberFormat="1" applyFont="1" applyBorder="1" applyAlignment="1">
      <alignment horizontal="center"/>
    </xf>
    <xf numFmtId="175" fontId="0" fillId="0" borderId="140" xfId="4240" applyNumberFormat="1" applyFont="1" applyBorder="1" applyAlignment="1">
      <alignment horizontal="center"/>
    </xf>
    <xf numFmtId="175" fontId="0" fillId="0" borderId="143" xfId="4240" applyNumberFormat="1" applyFont="1" applyBorder="1" applyAlignment="1">
      <alignment horizontal="center"/>
    </xf>
    <xf numFmtId="0" fontId="0" fillId="0" borderId="132" xfId="0" quotePrefix="1" applyBorder="1" applyAlignment="1">
      <alignment horizontal="center"/>
    </xf>
    <xf numFmtId="0" fontId="0" fillId="0" borderId="146" xfId="0" applyBorder="1"/>
    <xf numFmtId="0" fontId="0" fillId="0" borderId="147" xfId="0" applyBorder="1"/>
    <xf numFmtId="0" fontId="0" fillId="0" borderId="148" xfId="0" applyBorder="1"/>
    <xf numFmtId="0" fontId="0" fillId="0" borderId="75" xfId="0" applyBorder="1"/>
    <xf numFmtId="0" fontId="0" fillId="0" borderId="74" xfId="0" applyBorder="1"/>
    <xf numFmtId="0" fontId="0" fillId="0" borderId="76" xfId="0" applyBorder="1"/>
    <xf numFmtId="2" fontId="0" fillId="0" borderId="0" xfId="0" applyNumberFormat="1"/>
    <xf numFmtId="0" fontId="0" fillId="0" borderId="133" xfId="0" applyBorder="1"/>
    <xf numFmtId="0" fontId="0" fillId="0" borderId="149" xfId="0" applyBorder="1"/>
    <xf numFmtId="0" fontId="0" fillId="0" borderId="135" xfId="0" applyBorder="1" applyAlignment="1">
      <alignment horizontal="center"/>
    </xf>
    <xf numFmtId="0" fontId="0" fillId="0" borderId="145" xfId="0" applyBorder="1" applyAlignment="1">
      <alignment horizontal="center"/>
    </xf>
    <xf numFmtId="0" fontId="0" fillId="0" borderId="132" xfId="0" applyBorder="1" applyAlignment="1">
      <alignment horizontal="center"/>
    </xf>
    <xf numFmtId="0" fontId="0" fillId="0" borderId="137" xfId="0" applyBorder="1" applyAlignment="1">
      <alignment horizontal="center"/>
    </xf>
    <xf numFmtId="0" fontId="0" fillId="0" borderId="126" xfId="0" applyBorder="1" applyAlignment="1">
      <alignment horizontal="center"/>
    </xf>
    <xf numFmtId="0" fontId="0" fillId="0" borderId="134" xfId="0" applyBorder="1" applyAlignment="1">
      <alignment horizontal="center"/>
    </xf>
    <xf numFmtId="0" fontId="0" fillId="0" borderId="130" xfId="0" applyBorder="1" applyAlignment="1">
      <alignment horizontal="center"/>
    </xf>
    <xf numFmtId="2" fontId="0" fillId="0" borderId="138" xfId="0" applyNumberFormat="1" applyBorder="1" applyAlignment="1">
      <alignment horizontal="center"/>
    </xf>
    <xf numFmtId="2" fontId="0" fillId="0" borderId="126" xfId="0" applyNumberFormat="1" applyBorder="1" applyAlignment="1">
      <alignment horizontal="center"/>
    </xf>
    <xf numFmtId="2" fontId="0" fillId="0" borderId="143" xfId="0" applyNumberFormat="1" applyBorder="1" applyAlignment="1">
      <alignment horizontal="center"/>
    </xf>
    <xf numFmtId="2" fontId="0" fillId="0" borderId="130" xfId="0" applyNumberFormat="1" applyBorder="1" applyAlignment="1">
      <alignment horizontal="center"/>
    </xf>
    <xf numFmtId="2" fontId="0" fillId="0" borderId="150" xfId="0" applyNumberFormat="1" applyBorder="1" applyAlignment="1">
      <alignment horizontal="center"/>
    </xf>
    <xf numFmtId="2" fontId="0" fillId="0" borderId="151" xfId="0" applyNumberFormat="1" applyBorder="1" applyAlignment="1">
      <alignment horizontal="center"/>
    </xf>
    <xf numFmtId="2" fontId="0" fillId="0" borderId="132" xfId="0" applyNumberFormat="1" applyBorder="1" applyAlignment="1">
      <alignment horizontal="center"/>
    </xf>
    <xf numFmtId="2" fontId="0" fillId="0" borderId="137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0" fillId="0" borderId="143" xfId="0" applyBorder="1" applyAlignment="1">
      <alignment horizontal="center"/>
    </xf>
    <xf numFmtId="0" fontId="0" fillId="0" borderId="62" xfId="0" applyBorder="1" applyAlignment="1">
      <alignment horizontal="center" wrapText="1"/>
    </xf>
    <xf numFmtId="0" fontId="0" fillId="0" borderId="30" xfId="0" applyBorder="1" applyAlignment="1">
      <alignment horizontal="center"/>
    </xf>
    <xf numFmtId="2" fontId="0" fillId="0" borderId="123" xfId="0" applyNumberFormat="1" applyBorder="1" applyAlignment="1">
      <alignment horizontal="center"/>
    </xf>
    <xf numFmtId="0" fontId="0" fillId="0" borderId="114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16" fillId="0" borderId="153" xfId="0" applyNumberFormat="1" applyFont="1" applyBorder="1" applyAlignment="1">
      <alignment horizontal="center"/>
    </xf>
    <xf numFmtId="2" fontId="0" fillId="0" borderId="154" xfId="0" applyNumberFormat="1" applyBorder="1" applyAlignment="1">
      <alignment horizontal="center"/>
    </xf>
    <xf numFmtId="2" fontId="0" fillId="0" borderId="101" xfId="0" applyNumberFormat="1" applyFont="1" applyBorder="1" applyAlignment="1">
      <alignment horizontal="center"/>
    </xf>
    <xf numFmtId="2" fontId="0" fillId="0" borderId="28" xfId="0" applyNumberFormat="1" applyFont="1" applyBorder="1" applyAlignment="1">
      <alignment horizontal="center"/>
    </xf>
    <xf numFmtId="2" fontId="0" fillId="0" borderId="151" xfId="0" applyNumberFormat="1" applyFont="1" applyBorder="1" applyAlignment="1">
      <alignment horizontal="center"/>
    </xf>
    <xf numFmtId="2" fontId="0" fillId="0" borderId="154" xfId="0" applyNumberFormat="1" applyFont="1" applyBorder="1" applyAlignment="1">
      <alignment horizontal="center"/>
    </xf>
    <xf numFmtId="0" fontId="82" fillId="0" borderId="147" xfId="0" applyFont="1" applyFill="1" applyBorder="1" applyAlignment="1">
      <alignment horizontal="center"/>
    </xf>
    <xf numFmtId="0" fontId="0" fillId="0" borderId="0" xfId="0" applyAlignment="1">
      <alignment horizontal="right" vertical="top"/>
    </xf>
    <xf numFmtId="9" fontId="0" fillId="0" borderId="28" xfId="4240" quotePrefix="1" applyFont="1" applyBorder="1" applyAlignment="1">
      <alignment horizontal="center"/>
    </xf>
    <xf numFmtId="9" fontId="0" fillId="0" borderId="28" xfId="4240" quotePrefix="1" applyNumberFormat="1" applyFont="1" applyBorder="1" applyAlignment="1">
      <alignment horizontal="center"/>
    </xf>
    <xf numFmtId="9" fontId="0" fillId="0" borderId="150" xfId="4240" applyNumberFormat="1" applyFont="1" applyBorder="1" applyAlignment="1">
      <alignment horizontal="center"/>
    </xf>
    <xf numFmtId="9" fontId="0" fillId="0" borderId="155" xfId="4240" applyNumberFormat="1" applyFont="1" applyBorder="1" applyAlignment="1">
      <alignment horizontal="center"/>
    </xf>
    <xf numFmtId="9" fontId="0" fillId="0" borderId="151" xfId="4240" applyNumberFormat="1" applyFont="1" applyBorder="1" applyAlignment="1">
      <alignment horizontal="center"/>
    </xf>
    <xf numFmtId="171" fontId="0" fillId="0" borderId="0" xfId="0" applyNumberFormat="1" applyAlignment="1">
      <alignment horizontal="center"/>
    </xf>
    <xf numFmtId="0" fontId="0" fillId="0" borderId="138" xfId="0" applyBorder="1" applyAlignment="1">
      <alignment horizontal="center"/>
    </xf>
    <xf numFmtId="171" fontId="0" fillId="0" borderId="126" xfId="0" applyNumberFormat="1" applyBorder="1" applyAlignment="1">
      <alignment horizontal="center"/>
    </xf>
    <xf numFmtId="0" fontId="0" fillId="0" borderId="140" xfId="0" applyBorder="1" applyAlignment="1">
      <alignment horizontal="center"/>
    </xf>
    <xf numFmtId="171" fontId="0" fillId="0" borderId="142" xfId="0" applyNumberFormat="1" applyBorder="1" applyAlignment="1">
      <alignment horizontal="center"/>
    </xf>
    <xf numFmtId="171" fontId="0" fillId="0" borderId="130" xfId="0" applyNumberFormat="1" applyBorder="1" applyAlignment="1">
      <alignment horizontal="center"/>
    </xf>
    <xf numFmtId="171" fontId="0" fillId="0" borderId="137" xfId="0" applyNumberForma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9" fontId="0" fillId="0" borderId="0" xfId="4240" applyFont="1" applyAlignment="1">
      <alignment horizontal="center"/>
    </xf>
    <xf numFmtId="0" fontId="0" fillId="0" borderId="0" xfId="0" applyAlignment="1">
      <alignment horizontal="center" wrapText="1"/>
    </xf>
    <xf numFmtId="170" fontId="0" fillId="0" borderId="0" xfId="0" applyNumberFormat="1" applyAlignment="1">
      <alignment horizontal="center"/>
    </xf>
    <xf numFmtId="2" fontId="0" fillId="0" borderId="0" xfId="424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83" fillId="0" borderId="0" xfId="0" applyFont="1"/>
    <xf numFmtId="0" fontId="83" fillId="0" borderId="0" xfId="0" applyFont="1" applyAlignment="1">
      <alignment horizontal="center"/>
    </xf>
    <xf numFmtId="0" fontId="0" fillId="0" borderId="62" xfId="0" applyBorder="1" applyAlignment="1"/>
    <xf numFmtId="0" fontId="0" fillId="0" borderId="30" xfId="0" quotePrefix="1" applyBorder="1" applyAlignment="1">
      <alignment horizontal="center"/>
    </xf>
    <xf numFmtId="0" fontId="0" fillId="0" borderId="144" xfId="0" applyBorder="1" applyAlignment="1">
      <alignment horizont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1" fontId="0" fillId="0" borderId="143" xfId="0" applyNumberFormat="1" applyBorder="1" applyAlignment="1">
      <alignment horizontal="center"/>
    </xf>
    <xf numFmtId="1" fontId="0" fillId="0" borderId="144" xfId="0" applyNumberFormat="1" applyBorder="1" applyAlignment="1">
      <alignment horizontal="center"/>
    </xf>
    <xf numFmtId="1" fontId="0" fillId="0" borderId="130" xfId="0" applyNumberFormat="1" applyBorder="1" applyAlignment="1">
      <alignment horizontal="center"/>
    </xf>
    <xf numFmtId="1" fontId="0" fillId="0" borderId="132" xfId="0" applyNumberFormat="1" applyBorder="1" applyAlignment="1">
      <alignment horizontal="center"/>
    </xf>
    <xf numFmtId="1" fontId="0" fillId="0" borderId="136" xfId="0" applyNumberFormat="1" applyBorder="1" applyAlignment="1">
      <alignment horizontal="center"/>
    </xf>
    <xf numFmtId="1" fontId="0" fillId="0" borderId="137" xfId="0" applyNumberFormat="1" applyBorder="1" applyAlignment="1">
      <alignment horizontal="center"/>
    </xf>
    <xf numFmtId="0" fontId="0" fillId="0" borderId="136" xfId="0" applyBorder="1" applyAlignment="1">
      <alignment horizontal="center"/>
    </xf>
    <xf numFmtId="0" fontId="0" fillId="0" borderId="139" xfId="0" applyBorder="1" applyAlignment="1">
      <alignment horizontal="center"/>
    </xf>
    <xf numFmtId="1" fontId="0" fillId="0" borderId="140" xfId="0" applyNumberFormat="1" applyBorder="1" applyAlignment="1">
      <alignment horizontal="center"/>
    </xf>
    <xf numFmtId="1" fontId="0" fillId="0" borderId="141" xfId="0" applyNumberFormat="1" applyBorder="1" applyAlignment="1">
      <alignment horizontal="center"/>
    </xf>
    <xf numFmtId="1" fontId="0" fillId="0" borderId="142" xfId="0" applyNumberFormat="1" applyBorder="1" applyAlignment="1">
      <alignment horizontal="center"/>
    </xf>
    <xf numFmtId="0" fontId="0" fillId="0" borderId="156" xfId="0" applyBorder="1"/>
    <xf numFmtId="0" fontId="0" fillId="0" borderId="157" xfId="0" applyBorder="1"/>
    <xf numFmtId="0" fontId="0" fillId="0" borderId="158" xfId="0" applyBorder="1"/>
    <xf numFmtId="0" fontId="0" fillId="0" borderId="159" xfId="0" applyBorder="1"/>
    <xf numFmtId="0" fontId="0" fillId="0" borderId="160" xfId="0" applyBorder="1"/>
    <xf numFmtId="0" fontId="83" fillId="0" borderId="0" xfId="0" applyFont="1" applyBorder="1" applyAlignment="1">
      <alignment horizontal="center"/>
    </xf>
    <xf numFmtId="0" fontId="0" fillId="0" borderId="0" xfId="0" applyBorder="1" applyAlignment="1"/>
    <xf numFmtId="9" fontId="0" fillId="0" borderId="0" xfId="0" applyNumberFormat="1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164" fontId="0" fillId="0" borderId="0" xfId="0" applyNumberFormat="1" applyBorder="1"/>
    <xf numFmtId="0" fontId="0" fillId="0" borderId="21" xfId="0" applyBorder="1" applyAlignment="1">
      <alignment horizontal="right"/>
    </xf>
    <xf numFmtId="1" fontId="0" fillId="0" borderId="164" xfId="0" applyNumberFormat="1" applyBorder="1" applyAlignment="1">
      <alignment horizontal="center"/>
    </xf>
    <xf numFmtId="1" fontId="0" fillId="0" borderId="165" xfId="0" applyNumberFormat="1" applyBorder="1" applyAlignment="1">
      <alignment horizontal="center"/>
    </xf>
    <xf numFmtId="1" fontId="0" fillId="0" borderId="166" xfId="0" applyNumberFormat="1" applyBorder="1" applyAlignment="1">
      <alignment horizontal="center"/>
    </xf>
    <xf numFmtId="164" fontId="0" fillId="0" borderId="132" xfId="0" applyNumberFormat="1" applyBorder="1" applyAlignment="1">
      <alignment horizontal="center"/>
    </xf>
    <xf numFmtId="164" fontId="0" fillId="0" borderId="136" xfId="0" applyNumberFormat="1" applyBorder="1" applyAlignment="1">
      <alignment horizontal="center"/>
    </xf>
    <xf numFmtId="164" fontId="0" fillId="0" borderId="137" xfId="0" applyNumberFormat="1" applyBorder="1" applyAlignment="1">
      <alignment horizontal="center"/>
    </xf>
    <xf numFmtId="164" fontId="0" fillId="0" borderId="138" xfId="0" applyNumberFormat="1" applyBorder="1" applyAlignment="1">
      <alignment horizontal="center"/>
    </xf>
    <xf numFmtId="164" fontId="0" fillId="0" borderId="139" xfId="0" applyNumberFormat="1" applyBorder="1" applyAlignment="1">
      <alignment horizontal="center"/>
    </xf>
    <xf numFmtId="164" fontId="0" fillId="0" borderId="126" xfId="0" applyNumberFormat="1" applyBorder="1" applyAlignment="1">
      <alignment horizontal="center"/>
    </xf>
    <xf numFmtId="164" fontId="0" fillId="0" borderId="140" xfId="0" applyNumberFormat="1" applyBorder="1" applyAlignment="1">
      <alignment horizontal="center"/>
    </xf>
    <xf numFmtId="164" fontId="0" fillId="0" borderId="141" xfId="0" applyNumberFormat="1" applyBorder="1" applyAlignment="1">
      <alignment horizontal="center"/>
    </xf>
    <xf numFmtId="164" fontId="0" fillId="0" borderId="142" xfId="0" applyNumberFormat="1" applyBorder="1" applyAlignment="1">
      <alignment horizontal="center"/>
    </xf>
    <xf numFmtId="164" fontId="0" fillId="0" borderId="143" xfId="0" applyNumberFormat="1" applyBorder="1" applyAlignment="1">
      <alignment horizontal="center"/>
    </xf>
    <xf numFmtId="164" fontId="0" fillId="0" borderId="144" xfId="0" applyNumberFormat="1" applyBorder="1" applyAlignment="1">
      <alignment horizontal="center"/>
    </xf>
    <xf numFmtId="164" fontId="0" fillId="0" borderId="130" xfId="0" applyNumberFormat="1" applyBorder="1" applyAlignment="1">
      <alignment horizontal="center"/>
    </xf>
    <xf numFmtId="170" fontId="0" fillId="0" borderId="132" xfId="0" applyNumberFormat="1" applyBorder="1" applyAlignment="1">
      <alignment horizontal="center"/>
    </xf>
    <xf numFmtId="170" fontId="0" fillId="0" borderId="136" xfId="0" applyNumberFormat="1" applyBorder="1" applyAlignment="1">
      <alignment horizontal="center"/>
    </xf>
    <xf numFmtId="170" fontId="0" fillId="0" borderId="137" xfId="0" applyNumberFormat="1" applyBorder="1" applyAlignment="1">
      <alignment horizontal="center"/>
    </xf>
    <xf numFmtId="170" fontId="0" fillId="0" borderId="138" xfId="0" applyNumberFormat="1" applyBorder="1" applyAlignment="1">
      <alignment horizontal="center"/>
    </xf>
    <xf numFmtId="170" fontId="0" fillId="0" borderId="139" xfId="0" applyNumberFormat="1" applyBorder="1" applyAlignment="1">
      <alignment horizontal="center"/>
    </xf>
    <xf numFmtId="170" fontId="0" fillId="0" borderId="126" xfId="0" applyNumberFormat="1" applyBorder="1" applyAlignment="1">
      <alignment horizontal="center"/>
    </xf>
    <xf numFmtId="170" fontId="0" fillId="0" borderId="140" xfId="0" applyNumberFormat="1" applyBorder="1" applyAlignment="1">
      <alignment horizontal="center"/>
    </xf>
    <xf numFmtId="170" fontId="0" fillId="0" borderId="141" xfId="0" applyNumberFormat="1" applyBorder="1" applyAlignment="1">
      <alignment horizontal="center"/>
    </xf>
    <xf numFmtId="170" fontId="0" fillId="0" borderId="142" xfId="0" applyNumberFormat="1" applyBorder="1" applyAlignment="1">
      <alignment horizontal="center"/>
    </xf>
    <xf numFmtId="170" fontId="0" fillId="0" borderId="143" xfId="0" applyNumberFormat="1" applyBorder="1" applyAlignment="1">
      <alignment horizontal="center"/>
    </xf>
    <xf numFmtId="170" fontId="0" fillId="0" borderId="144" xfId="0" applyNumberFormat="1" applyBorder="1" applyAlignment="1">
      <alignment horizontal="center"/>
    </xf>
    <xf numFmtId="170" fontId="0" fillId="0" borderId="130" xfId="0" applyNumberFormat="1" applyBorder="1" applyAlignment="1">
      <alignment horizontal="center"/>
    </xf>
    <xf numFmtId="164" fontId="0" fillId="0" borderId="164" xfId="0" applyNumberFormat="1" applyBorder="1" applyAlignment="1">
      <alignment horizontal="center"/>
    </xf>
    <xf numFmtId="170" fontId="0" fillId="0" borderId="164" xfId="0" applyNumberFormat="1" applyBorder="1" applyAlignment="1">
      <alignment horizontal="center"/>
    </xf>
    <xf numFmtId="164" fontId="0" fillId="0" borderId="165" xfId="0" applyNumberFormat="1" applyBorder="1" applyAlignment="1">
      <alignment horizontal="center"/>
    </xf>
    <xf numFmtId="170" fontId="0" fillId="0" borderId="165" xfId="0" applyNumberFormat="1" applyBorder="1" applyAlignment="1">
      <alignment horizontal="center"/>
    </xf>
    <xf numFmtId="164" fontId="0" fillId="0" borderId="166" xfId="0" applyNumberFormat="1" applyBorder="1" applyAlignment="1">
      <alignment horizontal="center"/>
    </xf>
    <xf numFmtId="170" fontId="0" fillId="0" borderId="166" xfId="0" applyNumberFormat="1" applyBorder="1" applyAlignment="1">
      <alignment horizontal="center"/>
    </xf>
    <xf numFmtId="164" fontId="83" fillId="0" borderId="0" xfId="0" applyNumberFormat="1" applyFont="1" applyBorder="1" applyAlignment="1">
      <alignment horizontal="center"/>
    </xf>
    <xf numFmtId="0" fontId="0" fillId="41" borderId="0" xfId="0" applyFill="1"/>
    <xf numFmtId="0" fontId="0" fillId="0" borderId="28" xfId="0" applyFill="1" applyBorder="1"/>
    <xf numFmtId="10" fontId="0" fillId="0" borderId="28" xfId="0" applyNumberFormat="1" applyBorder="1"/>
    <xf numFmtId="0" fontId="16" fillId="70" borderId="28" xfId="0" applyFont="1" applyFill="1" applyBorder="1"/>
    <xf numFmtId="1" fontId="16" fillId="37" borderId="28" xfId="0" applyNumberFormat="1" applyFont="1" applyFill="1" applyBorder="1"/>
    <xf numFmtId="10" fontId="16" fillId="37" borderId="28" xfId="0" applyNumberFormat="1" applyFont="1" applyFill="1" applyBorder="1"/>
    <xf numFmtId="0" fontId="0" fillId="0" borderId="0" xfId="0" applyAlignment="1">
      <alignment horizontal="center"/>
    </xf>
    <xf numFmtId="0" fontId="0" fillId="0" borderId="114" xfId="0" applyFill="1" applyBorder="1"/>
    <xf numFmtId="0" fontId="0" fillId="0" borderId="114" xfId="0" applyBorder="1"/>
    <xf numFmtId="0" fontId="16" fillId="70" borderId="0" xfId="0" applyFont="1" applyFill="1" applyBorder="1"/>
    <xf numFmtId="10" fontId="0" fillId="0" borderId="114" xfId="0" applyNumberFormat="1" applyFill="1" applyBorder="1"/>
    <xf numFmtId="0" fontId="0" fillId="0" borderId="0" xfId="0" applyAlignment="1">
      <alignment horizontal="center"/>
    </xf>
    <xf numFmtId="9" fontId="0" fillId="0" borderId="0" xfId="4240" applyFont="1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0" fontId="0" fillId="0" borderId="30" xfId="0" applyBorder="1" applyAlignment="1">
      <alignment horizontal="center" wrapText="1"/>
    </xf>
    <xf numFmtId="0" fontId="84" fillId="0" borderId="0" xfId="0" applyFont="1" applyBorder="1" applyAlignment="1"/>
    <xf numFmtId="170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8" fillId="0" borderId="0" xfId="0" applyFont="1" applyAlignment="1">
      <alignment horizontal="center"/>
    </xf>
    <xf numFmtId="0" fontId="0" fillId="0" borderId="0" xfId="0" applyBorder="1" applyAlignment="1">
      <alignment horizontal="right"/>
    </xf>
    <xf numFmtId="0" fontId="0" fillId="0" borderId="30" xfId="0" applyBorder="1" applyAlignment="1">
      <alignment horizontal="center" wrapText="1"/>
    </xf>
    <xf numFmtId="0" fontId="0" fillId="0" borderId="124" xfId="0" applyBorder="1" applyAlignment="1">
      <alignment horizontal="center"/>
    </xf>
    <xf numFmtId="0" fontId="0" fillId="0" borderId="75" xfId="0" applyBorder="1" applyAlignment="1">
      <alignment horizontal="center" wrapText="1"/>
    </xf>
    <xf numFmtId="9" fontId="0" fillId="0" borderId="123" xfId="4240" quotePrefix="1" applyFont="1" applyBorder="1" applyAlignment="1">
      <alignment horizontal="center"/>
    </xf>
    <xf numFmtId="9" fontId="0" fillId="0" borderId="152" xfId="4240" applyNumberFormat="1" applyFont="1" applyBorder="1" applyAlignment="1">
      <alignment horizontal="center"/>
    </xf>
    <xf numFmtId="9" fontId="0" fillId="0" borderId="167" xfId="4240" applyNumberFormat="1" applyFont="1" applyBorder="1" applyAlignment="1">
      <alignment horizontal="center"/>
    </xf>
    <xf numFmtId="9" fontId="0" fillId="0" borderId="123" xfId="4240" quotePrefix="1" applyNumberFormat="1" applyFont="1" applyBorder="1" applyAlignment="1">
      <alignment horizontal="center"/>
    </xf>
    <xf numFmtId="9" fontId="0" fillId="0" borderId="75" xfId="4240" applyNumberFormat="1" applyFont="1" applyBorder="1" applyAlignment="1">
      <alignment horizontal="center"/>
    </xf>
    <xf numFmtId="2" fontId="0" fillId="0" borderId="69" xfId="0" applyNumberFormat="1" applyFill="1" applyBorder="1" applyAlignment="1">
      <alignment horizontal="center"/>
    </xf>
    <xf numFmtId="1" fontId="0" fillId="0" borderId="28" xfId="4240" quotePrefix="1" applyNumberFormat="1" applyFont="1" applyBorder="1" applyAlignment="1">
      <alignment horizontal="center"/>
    </xf>
    <xf numFmtId="1" fontId="0" fillId="0" borderId="150" xfId="4240" applyNumberFormat="1" applyFont="1" applyBorder="1" applyAlignment="1">
      <alignment horizontal="center"/>
    </xf>
    <xf numFmtId="1" fontId="0" fillId="0" borderId="155" xfId="4240" applyNumberFormat="1" applyFont="1" applyBorder="1" applyAlignment="1">
      <alignment horizontal="center"/>
    </xf>
    <xf numFmtId="1" fontId="0" fillId="0" borderId="151" xfId="4240" applyNumberFormat="1" applyFont="1" applyBorder="1" applyAlignment="1">
      <alignment horizontal="center"/>
    </xf>
    <xf numFmtId="1" fontId="0" fillId="0" borderId="69" xfId="0" applyNumberFormat="1" applyFill="1" applyBorder="1" applyAlignment="1">
      <alignment horizontal="center"/>
    </xf>
    <xf numFmtId="1" fontId="0" fillId="0" borderId="147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24" xfId="0" applyBorder="1" applyAlignment="1">
      <alignment horizontal="center"/>
    </xf>
    <xf numFmtId="0" fontId="0" fillId="0" borderId="123" xfId="0" applyBorder="1" applyAlignment="1"/>
    <xf numFmtId="0" fontId="0" fillId="0" borderId="125" xfId="0" applyBorder="1" applyAlignment="1"/>
    <xf numFmtId="0" fontId="0" fillId="0" borderId="142" xfId="0" applyBorder="1" applyAlignment="1">
      <alignment horizontal="right"/>
    </xf>
    <xf numFmtId="9" fontId="0" fillId="0" borderId="140" xfId="4240" applyFont="1" applyBorder="1" applyAlignment="1">
      <alignment horizontal="center"/>
    </xf>
    <xf numFmtId="9" fontId="0" fillId="0" borderId="141" xfId="4240" applyFont="1" applyBorder="1" applyAlignment="1">
      <alignment horizontal="center"/>
    </xf>
    <xf numFmtId="9" fontId="0" fillId="0" borderId="142" xfId="4240" applyFont="1" applyBorder="1" applyAlignment="1">
      <alignment horizontal="center"/>
    </xf>
    <xf numFmtId="1" fontId="0" fillId="0" borderId="140" xfId="4240" applyNumberFormat="1" applyFont="1" applyBorder="1" applyAlignment="1">
      <alignment horizontal="center"/>
    </xf>
    <xf numFmtId="1" fontId="0" fillId="0" borderId="141" xfId="4240" applyNumberFormat="1" applyFont="1" applyBorder="1" applyAlignment="1">
      <alignment horizontal="center"/>
    </xf>
    <xf numFmtId="1" fontId="0" fillId="0" borderId="142" xfId="4240" applyNumberFormat="1" applyFont="1" applyBorder="1" applyAlignment="1">
      <alignment horizontal="center"/>
    </xf>
    <xf numFmtId="0" fontId="0" fillId="0" borderId="169" xfId="0" applyBorder="1"/>
    <xf numFmtId="0" fontId="0" fillId="0" borderId="170" xfId="0" applyBorder="1"/>
    <xf numFmtId="0" fontId="0" fillId="0" borderId="171" xfId="0" applyBorder="1"/>
    <xf numFmtId="9" fontId="0" fillId="0" borderId="168" xfId="4240" quotePrefix="1" applyNumberFormat="1" applyFont="1" applyBorder="1" applyAlignment="1">
      <alignment horizontal="center"/>
    </xf>
    <xf numFmtId="0" fontId="0" fillId="0" borderId="172" xfId="0" applyBorder="1" applyAlignment="1">
      <alignment horizontal="center"/>
    </xf>
    <xf numFmtId="0" fontId="0" fillId="0" borderId="173" xfId="0" applyBorder="1" applyAlignment="1">
      <alignment horizontal="center"/>
    </xf>
    <xf numFmtId="0" fontId="0" fillId="0" borderId="174" xfId="0" applyBorder="1" applyAlignment="1">
      <alignment horizontal="center"/>
    </xf>
    <xf numFmtId="9" fontId="0" fillId="0" borderId="177" xfId="0" applyNumberFormat="1" applyBorder="1" applyAlignment="1">
      <alignment horizontal="right"/>
    </xf>
    <xf numFmtId="1" fontId="0" fillId="0" borderId="178" xfId="0" applyNumberFormat="1" applyBorder="1" applyAlignment="1">
      <alignment horizontal="center"/>
    </xf>
    <xf numFmtId="1" fontId="0" fillId="0" borderId="179" xfId="0" applyNumberFormat="1" applyBorder="1" applyAlignment="1">
      <alignment horizontal="center"/>
    </xf>
    <xf numFmtId="1" fontId="0" fillId="0" borderId="177" xfId="0" applyNumberFormat="1" applyBorder="1" applyAlignment="1">
      <alignment horizontal="center"/>
    </xf>
    <xf numFmtId="0" fontId="0" fillId="0" borderId="182" xfId="0" applyBorder="1" applyAlignment="1">
      <alignment horizontal="right"/>
    </xf>
    <xf numFmtId="2" fontId="0" fillId="0" borderId="183" xfId="4240" applyNumberFormat="1" applyFont="1" applyBorder="1" applyAlignment="1">
      <alignment horizontal="center"/>
    </xf>
    <xf numFmtId="2" fontId="0" fillId="0" borderId="184" xfId="4240" applyNumberFormat="1" applyFont="1" applyBorder="1" applyAlignment="1">
      <alignment horizontal="center"/>
    </xf>
    <xf numFmtId="2" fontId="0" fillId="0" borderId="182" xfId="4240" applyNumberFormat="1" applyFont="1" applyBorder="1" applyAlignment="1">
      <alignment horizontal="center"/>
    </xf>
    <xf numFmtId="1" fontId="83" fillId="0" borderId="0" xfId="4240" applyNumberFormat="1" applyFont="1" applyBorder="1" applyAlignment="1">
      <alignment horizontal="center"/>
    </xf>
    <xf numFmtId="0" fontId="83" fillId="0" borderId="0" xfId="0" applyFont="1" applyBorder="1"/>
    <xf numFmtId="164" fontId="0" fillId="0" borderId="172" xfId="0" applyNumberFormat="1" applyBorder="1" applyAlignment="1">
      <alignment horizontal="center"/>
    </xf>
    <xf numFmtId="164" fontId="0" fillId="0" borderId="173" xfId="0" applyNumberFormat="1" applyBorder="1" applyAlignment="1">
      <alignment horizontal="center"/>
    </xf>
    <xf numFmtId="164" fontId="0" fillId="0" borderId="174" xfId="0" applyNumberFormat="1" applyBorder="1" applyAlignment="1">
      <alignment horizontal="center"/>
    </xf>
    <xf numFmtId="170" fontId="0" fillId="0" borderId="172" xfId="0" applyNumberFormat="1" applyBorder="1" applyAlignment="1">
      <alignment horizontal="center"/>
    </xf>
    <xf numFmtId="170" fontId="0" fillId="0" borderId="173" xfId="0" applyNumberFormat="1" applyBorder="1" applyAlignment="1">
      <alignment horizontal="center"/>
    </xf>
    <xf numFmtId="170" fontId="0" fillId="0" borderId="174" xfId="0" applyNumberFormat="1" applyBorder="1" applyAlignment="1">
      <alignment horizontal="center"/>
    </xf>
    <xf numFmtId="164" fontId="0" fillId="0" borderId="178" xfId="0" applyNumberFormat="1" applyBorder="1" applyAlignment="1">
      <alignment horizontal="center"/>
    </xf>
    <xf numFmtId="164" fontId="0" fillId="0" borderId="179" xfId="0" applyNumberFormat="1" applyBorder="1" applyAlignment="1">
      <alignment horizontal="center"/>
    </xf>
    <xf numFmtId="164" fontId="0" fillId="0" borderId="177" xfId="0" applyNumberFormat="1" applyBorder="1" applyAlignment="1">
      <alignment horizontal="center"/>
    </xf>
    <xf numFmtId="170" fontId="0" fillId="0" borderId="178" xfId="0" applyNumberFormat="1" applyBorder="1" applyAlignment="1">
      <alignment horizontal="center"/>
    </xf>
    <xf numFmtId="170" fontId="0" fillId="0" borderId="179" xfId="0" applyNumberFormat="1" applyBorder="1" applyAlignment="1">
      <alignment horizontal="center"/>
    </xf>
    <xf numFmtId="170" fontId="0" fillId="0" borderId="177" xfId="0" applyNumberFormat="1" applyBorder="1" applyAlignment="1">
      <alignment horizontal="center"/>
    </xf>
    <xf numFmtId="1" fontId="83" fillId="0" borderId="0" xfId="0" applyNumberFormat="1" applyFont="1" applyBorder="1"/>
    <xf numFmtId="1" fontId="0" fillId="0" borderId="185" xfId="0" applyNumberFormat="1" applyBorder="1" applyAlignment="1">
      <alignment horizontal="center"/>
    </xf>
    <xf numFmtId="2" fontId="0" fillId="0" borderId="185" xfId="0" applyNumberFormat="1" applyFill="1" applyBorder="1" applyAlignment="1">
      <alignment horizontal="center"/>
    </xf>
    <xf numFmtId="170" fontId="0" fillId="0" borderId="186" xfId="0" applyNumberFormat="1" applyBorder="1" applyAlignment="1">
      <alignment horizontal="center"/>
    </xf>
    <xf numFmtId="2" fontId="6" fillId="2" borderId="183" xfId="6" applyNumberFormat="1" applyBorder="1" applyAlignment="1">
      <alignment horizontal="center"/>
    </xf>
    <xf numFmtId="2" fontId="6" fillId="2" borderId="184" xfId="6" applyNumberFormat="1" applyBorder="1" applyAlignment="1">
      <alignment horizontal="center"/>
    </xf>
    <xf numFmtId="2" fontId="6" fillId="2" borderId="182" xfId="6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6" fillId="2" borderId="178" xfId="6" applyNumberFormat="1" applyBorder="1" applyAlignment="1">
      <alignment horizontal="center"/>
    </xf>
    <xf numFmtId="1" fontId="6" fillId="2" borderId="179" xfId="6" applyNumberFormat="1" applyBorder="1" applyAlignment="1">
      <alignment horizontal="center"/>
    </xf>
    <xf numFmtId="1" fontId="6" fillId="2" borderId="177" xfId="6" applyNumberFormat="1" applyBorder="1" applyAlignment="1">
      <alignment horizontal="center"/>
    </xf>
    <xf numFmtId="9" fontId="6" fillId="2" borderId="140" xfId="6" applyNumberFormat="1" applyBorder="1" applyAlignment="1">
      <alignment horizontal="center"/>
    </xf>
    <xf numFmtId="9" fontId="6" fillId="2" borderId="141" xfId="6" applyNumberFormat="1" applyBorder="1" applyAlignment="1">
      <alignment horizontal="center"/>
    </xf>
    <xf numFmtId="9" fontId="6" fillId="2" borderId="142" xfId="6" applyNumberFormat="1" applyBorder="1" applyAlignment="1">
      <alignment horizontal="center"/>
    </xf>
    <xf numFmtId="1" fontId="6" fillId="2" borderId="140" xfId="6" applyNumberFormat="1" applyBorder="1" applyAlignment="1">
      <alignment horizontal="center"/>
    </xf>
    <xf numFmtId="1" fontId="6" fillId="2" borderId="141" xfId="6" applyNumberFormat="1" applyBorder="1" applyAlignment="1">
      <alignment horizontal="center"/>
    </xf>
    <xf numFmtId="1" fontId="6" fillId="2" borderId="142" xfId="6" applyNumberFormat="1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171" fontId="0" fillId="0" borderId="164" xfId="0" applyNumberFormat="1" applyBorder="1" applyAlignment="1">
      <alignment horizontal="center"/>
    </xf>
    <xf numFmtId="171" fontId="0" fillId="0" borderId="165" xfId="0" applyNumberFormat="1" applyBorder="1" applyAlignment="1">
      <alignment horizontal="center"/>
    </xf>
    <xf numFmtId="171" fontId="0" fillId="0" borderId="166" xfId="0" applyNumberFormat="1" applyBorder="1" applyAlignment="1">
      <alignment horizontal="center"/>
    </xf>
    <xf numFmtId="170" fontId="6" fillId="2" borderId="178" xfId="6" applyNumberFormat="1" applyBorder="1" applyAlignment="1">
      <alignment horizontal="center"/>
    </xf>
    <xf numFmtId="170" fontId="6" fillId="2" borderId="179" xfId="6" applyNumberFormat="1" applyBorder="1" applyAlignment="1">
      <alignment horizontal="center"/>
    </xf>
    <xf numFmtId="170" fontId="6" fillId="2" borderId="177" xfId="6" applyNumberFormat="1" applyBorder="1" applyAlignment="1">
      <alignment horizontal="center"/>
    </xf>
    <xf numFmtId="164" fontId="6" fillId="2" borderId="178" xfId="6" applyNumberFormat="1" applyBorder="1" applyAlignment="1">
      <alignment horizontal="center"/>
    </xf>
    <xf numFmtId="164" fontId="6" fillId="2" borderId="179" xfId="6" applyNumberFormat="1" applyBorder="1" applyAlignment="1">
      <alignment horizontal="center"/>
    </xf>
    <xf numFmtId="164" fontId="6" fillId="2" borderId="177" xfId="6" applyNumberFormat="1" applyBorder="1" applyAlignment="1">
      <alignment horizontal="center"/>
    </xf>
    <xf numFmtId="0" fontId="6" fillId="2" borderId="0" xfId="6"/>
    <xf numFmtId="0" fontId="0" fillId="71" borderId="74" xfId="0" applyFill="1" applyBorder="1"/>
    <xf numFmtId="0" fontId="0" fillId="71" borderId="74" xfId="0" applyFill="1" applyBorder="1" applyAlignment="1">
      <alignment horizontal="right"/>
    </xf>
    <xf numFmtId="0" fontId="0" fillId="40" borderId="0" xfId="0" applyFill="1" applyBorder="1" applyAlignment="1">
      <alignment horizontal="center"/>
    </xf>
    <xf numFmtId="0" fontId="20" fillId="40" borderId="28" xfId="0" applyFont="1" applyFill="1" applyBorder="1" applyAlignment="1">
      <alignment horizontal="center" wrapText="1"/>
    </xf>
    <xf numFmtId="0" fontId="16" fillId="40" borderId="44" xfId="0" applyNumberFormat="1" applyFont="1" applyFill="1" applyBorder="1" applyAlignment="1" applyProtection="1">
      <alignment horizontal="center" vertical="center" wrapText="1"/>
    </xf>
    <xf numFmtId="0" fontId="16" fillId="40" borderId="46" xfId="0" applyNumberFormat="1" applyFont="1" applyFill="1" applyBorder="1" applyAlignment="1" applyProtection="1">
      <alignment horizontal="center" vertical="center" wrapText="1"/>
    </xf>
    <xf numFmtId="0" fontId="16" fillId="40" borderId="43" xfId="0" applyNumberFormat="1" applyFont="1" applyFill="1" applyBorder="1" applyAlignment="1" applyProtection="1">
      <alignment horizontal="center" vertical="center" wrapText="1"/>
    </xf>
    <xf numFmtId="0" fontId="26" fillId="69" borderId="63" xfId="0" applyFont="1" applyFill="1" applyBorder="1" applyAlignment="1">
      <alignment horizontal="center" vertical="center" wrapText="1"/>
    </xf>
    <xf numFmtId="0" fontId="26" fillId="69" borderId="64" xfId="0" applyFont="1" applyFill="1" applyBorder="1" applyAlignment="1">
      <alignment horizontal="center" vertical="center" wrapText="1"/>
    </xf>
    <xf numFmtId="0" fontId="26" fillId="69" borderId="65" xfId="0" applyFont="1" applyFill="1" applyBorder="1" applyAlignment="1">
      <alignment horizontal="center" vertical="center" wrapText="1"/>
    </xf>
    <xf numFmtId="0" fontId="64" fillId="39" borderId="95" xfId="0" applyFont="1" applyFill="1" applyBorder="1" applyAlignment="1">
      <alignment horizontal="center" vertical="center"/>
    </xf>
    <xf numFmtId="0" fontId="64" fillId="39" borderId="98" xfId="0" applyFont="1" applyFill="1" applyBorder="1" applyAlignment="1">
      <alignment horizontal="center" vertical="center"/>
    </xf>
    <xf numFmtId="0" fontId="65" fillId="39" borderId="96" xfId="0" applyFont="1" applyFill="1" applyBorder="1" applyAlignment="1">
      <alignment horizontal="center" vertical="center" wrapText="1"/>
    </xf>
    <xf numFmtId="0" fontId="65" fillId="39" borderId="95" xfId="0" applyFont="1" applyFill="1" applyBorder="1" applyAlignment="1">
      <alignment horizontal="center" vertical="center" wrapText="1"/>
    </xf>
    <xf numFmtId="0" fontId="65" fillId="39" borderId="97" xfId="0" applyFont="1" applyFill="1" applyBorder="1" applyAlignment="1">
      <alignment horizontal="center" vertical="center" wrapText="1"/>
    </xf>
    <xf numFmtId="0" fontId="26" fillId="39" borderId="66" xfId="0" applyFont="1" applyFill="1" applyBorder="1" applyAlignment="1">
      <alignment horizontal="center" vertical="center" wrapText="1"/>
    </xf>
    <xf numFmtId="0" fontId="26" fillId="39" borderId="74" xfId="0" applyFont="1" applyFill="1" applyBorder="1" applyAlignment="1">
      <alignment horizontal="center" vertical="center" wrapText="1"/>
    </xf>
    <xf numFmtId="0" fontId="26" fillId="39" borderId="97" xfId="0" applyFont="1" applyFill="1" applyBorder="1" applyAlignment="1">
      <alignment horizontal="center" vertical="center" wrapText="1"/>
    </xf>
    <xf numFmtId="0" fontId="26" fillId="39" borderId="95" xfId="0" applyFont="1" applyFill="1" applyBorder="1" applyAlignment="1">
      <alignment horizontal="center" vertical="center" wrapText="1"/>
    </xf>
    <xf numFmtId="0" fontId="26" fillId="39" borderId="96" xfId="0" applyFont="1" applyFill="1" applyBorder="1" applyAlignment="1">
      <alignment horizontal="center" vertical="center" wrapText="1"/>
    </xf>
    <xf numFmtId="0" fontId="26" fillId="39" borderId="106" xfId="0" applyFont="1" applyFill="1" applyBorder="1" applyAlignment="1">
      <alignment horizontal="center" vertical="center" wrapText="1"/>
    </xf>
    <xf numFmtId="0" fontId="26" fillId="39" borderId="79" xfId="0" applyFont="1" applyFill="1" applyBorder="1" applyAlignment="1">
      <alignment horizontal="center" vertical="center" wrapText="1"/>
    </xf>
    <xf numFmtId="0" fontId="26" fillId="39" borderId="80" xfId="0" applyFont="1" applyFill="1" applyBorder="1" applyAlignment="1">
      <alignment horizontal="center" vertical="center" wrapText="1"/>
    </xf>
    <xf numFmtId="0" fontId="26" fillId="68" borderId="63" xfId="0" applyFont="1" applyFill="1" applyBorder="1" applyAlignment="1">
      <alignment horizontal="center" vertical="center" wrapText="1"/>
    </xf>
    <xf numFmtId="0" fontId="26" fillId="68" borderId="64" xfId="0" applyFont="1" applyFill="1" applyBorder="1" applyAlignment="1">
      <alignment horizontal="center" vertical="center" wrapText="1"/>
    </xf>
    <xf numFmtId="0" fontId="26" fillId="68" borderId="65" xfId="0" applyFont="1" applyFill="1" applyBorder="1" applyAlignment="1">
      <alignment horizontal="center" vertical="center" wrapText="1"/>
    </xf>
    <xf numFmtId="0" fontId="0" fillId="0" borderId="62" xfId="0" applyFont="1" applyBorder="1" applyAlignment="1">
      <alignment horizontal="center" vertical="center"/>
    </xf>
    <xf numFmtId="0" fontId="0" fillId="0" borderId="114" xfId="0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6" fillId="0" borderId="62" xfId="0" applyFont="1" applyBorder="1" applyAlignment="1">
      <alignment horizontal="center" wrapText="1"/>
    </xf>
    <xf numFmtId="0" fontId="16" fillId="0" borderId="114" xfId="0" applyFont="1" applyBorder="1" applyAlignment="1">
      <alignment horizontal="center" wrapText="1"/>
    </xf>
    <xf numFmtId="0" fontId="16" fillId="0" borderId="62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horizontal="center" vertical="center"/>
    </xf>
    <xf numFmtId="0" fontId="26" fillId="39" borderId="0" xfId="0" applyFont="1" applyFill="1" applyBorder="1" applyAlignment="1">
      <alignment horizontal="center" vertical="center" wrapText="1"/>
    </xf>
    <xf numFmtId="0" fontId="16" fillId="0" borderId="108" xfId="0" applyFont="1" applyBorder="1" applyAlignment="1">
      <alignment horizontal="center" vertical="center"/>
    </xf>
    <xf numFmtId="0" fontId="16" fillId="0" borderId="112" xfId="0" applyFont="1" applyBorder="1" applyAlignment="1">
      <alignment horizontal="center" vertical="center"/>
    </xf>
    <xf numFmtId="0" fontId="16" fillId="0" borderId="113" xfId="0" applyFont="1" applyBorder="1" applyAlignment="1">
      <alignment horizontal="center" vertical="center"/>
    </xf>
    <xf numFmtId="3" fontId="0" fillId="0" borderId="53" xfId="0" applyNumberFormat="1" applyFill="1" applyBorder="1" applyAlignment="1">
      <alignment horizontal="center" vertical="center" wrapText="1"/>
    </xf>
    <xf numFmtId="3" fontId="0" fillId="0" borderId="54" xfId="0" applyNumberFormat="1" applyFill="1" applyBorder="1" applyAlignment="1">
      <alignment horizontal="center" vertical="center" wrapText="1"/>
    </xf>
    <xf numFmtId="3" fontId="22" fillId="37" borderId="56" xfId="0" applyNumberFormat="1" applyFont="1" applyFill="1" applyBorder="1" applyAlignment="1">
      <alignment horizontal="center" vertical="center" wrapText="1"/>
    </xf>
    <xf numFmtId="3" fontId="22" fillId="37" borderId="55" xfId="0" applyNumberFormat="1" applyFont="1" applyFill="1" applyBorder="1" applyAlignment="1">
      <alignment horizontal="center" vertical="center" wrapText="1"/>
    </xf>
    <xf numFmtId="0" fontId="16" fillId="39" borderId="28" xfId="0" applyFont="1" applyFill="1" applyBorder="1" applyAlignment="1">
      <alignment vertical="center"/>
    </xf>
    <xf numFmtId="3" fontId="16" fillId="39" borderId="28" xfId="0" applyNumberFormat="1" applyFont="1" applyFill="1" applyBorder="1" applyAlignment="1">
      <alignment horizontal="center"/>
    </xf>
    <xf numFmtId="3" fontId="0" fillId="39" borderId="28" xfId="0" applyNumberFormat="1" applyFill="1" applyBorder="1" applyAlignment="1">
      <alignment horizontal="center"/>
    </xf>
    <xf numFmtId="3" fontId="0" fillId="40" borderId="28" xfId="0" applyNumberFormat="1" applyFill="1" applyBorder="1" applyAlignment="1">
      <alignment horizontal="center"/>
    </xf>
    <xf numFmtId="3" fontId="16" fillId="37" borderId="28" xfId="0" applyNumberFormat="1" applyFont="1" applyFill="1" applyBorder="1" applyAlignment="1">
      <alignment horizontal="center"/>
    </xf>
    <xf numFmtId="0" fontId="26" fillId="39" borderId="28" xfId="0" applyFont="1" applyFill="1" applyBorder="1" applyAlignment="1">
      <alignment horizontal="center" vertical="center"/>
    </xf>
    <xf numFmtId="0" fontId="26" fillId="39" borderId="28" xfId="0" applyFont="1" applyFill="1" applyBorder="1" applyAlignment="1">
      <alignment horizontal="center"/>
    </xf>
    <xf numFmtId="0" fontId="0" fillId="39" borderId="108" xfId="0" applyFill="1" applyBorder="1" applyAlignment="1">
      <alignment horizontal="center" wrapText="1"/>
    </xf>
    <xf numFmtId="0" fontId="0" fillId="39" borderId="109" xfId="0" applyFill="1" applyBorder="1" applyAlignment="1">
      <alignment horizontal="center" wrapText="1"/>
    </xf>
    <xf numFmtId="0" fontId="26" fillId="39" borderId="45" xfId="0" applyFont="1" applyFill="1" applyBorder="1" applyAlignment="1">
      <alignment horizontal="center" wrapText="1"/>
    </xf>
    <xf numFmtId="0" fontId="26" fillId="39" borderId="57" xfId="0" applyFont="1" applyFill="1" applyBorder="1" applyAlignment="1">
      <alignment horizontal="center" wrapText="1"/>
    </xf>
    <xf numFmtId="0" fontId="26" fillId="39" borderId="50" xfId="0" applyFont="1" applyFill="1" applyBorder="1" applyAlignment="1">
      <alignment horizontal="center" vertical="center" wrapText="1"/>
    </xf>
    <xf numFmtId="0" fontId="26" fillId="39" borderId="58" xfId="0" applyFont="1" applyFill="1" applyBorder="1" applyAlignment="1">
      <alignment horizontal="center" vertical="center" wrapText="1"/>
    </xf>
    <xf numFmtId="3" fontId="0" fillId="0" borderId="37" xfId="0" applyNumberFormat="1" applyFont="1" applyFill="1" applyBorder="1" applyAlignment="1">
      <alignment horizontal="center" wrapText="1"/>
    </xf>
    <xf numFmtId="3" fontId="0" fillId="0" borderId="39" xfId="0" applyNumberFormat="1" applyFont="1" applyFill="1" applyBorder="1" applyAlignment="1">
      <alignment horizontal="center" wrapText="1"/>
    </xf>
    <xf numFmtId="0" fontId="0" fillId="39" borderId="34" xfId="0" applyFill="1" applyBorder="1" applyAlignment="1">
      <alignment horizontal="center" wrapText="1"/>
    </xf>
    <xf numFmtId="0" fontId="0" fillId="39" borderId="37" xfId="0" applyFill="1" applyBorder="1" applyAlignment="1">
      <alignment horizontal="center" wrapText="1"/>
    </xf>
    <xf numFmtId="0" fontId="26" fillId="39" borderId="34" xfId="0" applyFont="1" applyFill="1" applyBorder="1" applyAlignment="1">
      <alignment horizontal="center" wrapText="1"/>
    </xf>
    <xf numFmtId="0" fontId="26" fillId="39" borderId="35" xfId="0" applyFont="1" applyFill="1" applyBorder="1" applyAlignment="1">
      <alignment horizontal="center" wrapText="1"/>
    </xf>
    <xf numFmtId="0" fontId="26" fillId="39" borderId="36" xfId="0" applyFont="1" applyFill="1" applyBorder="1" applyAlignment="1">
      <alignment horizontal="center" wrapText="1"/>
    </xf>
    <xf numFmtId="0" fontId="22" fillId="0" borderId="0" xfId="0" quotePrefix="1" applyFont="1" applyFill="1" applyAlignment="1">
      <alignment horizontal="left" vertical="center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38" borderId="28" xfId="0" applyFont="1" applyFill="1" applyBorder="1" applyAlignment="1">
      <alignment horizontal="center" vertical="center" wrapText="1"/>
    </xf>
    <xf numFmtId="0" fontId="0" fillId="0" borderId="44" xfId="0" applyFont="1" applyBorder="1" applyAlignment="1">
      <alignment horizontal="center"/>
    </xf>
    <xf numFmtId="0" fontId="0" fillId="0" borderId="43" xfId="0" applyFont="1" applyBorder="1" applyAlignment="1">
      <alignment horizontal="center"/>
    </xf>
    <xf numFmtId="0" fontId="26" fillId="39" borderId="78" xfId="2187" applyFont="1" applyFill="1" applyBorder="1" applyAlignment="1">
      <alignment horizontal="center" vertical="center"/>
    </xf>
    <xf numFmtId="0" fontId="26" fillId="39" borderId="79" xfId="2187" applyFont="1" applyFill="1" applyBorder="1" applyAlignment="1">
      <alignment horizontal="center" vertical="center"/>
    </xf>
    <xf numFmtId="0" fontId="26" fillId="39" borderId="80" xfId="2187" applyFont="1" applyFill="1" applyBorder="1" applyAlignment="1">
      <alignment horizontal="center" vertical="center"/>
    </xf>
    <xf numFmtId="0" fontId="26" fillId="39" borderId="84" xfId="2187" applyFont="1" applyFill="1" applyBorder="1" applyAlignment="1">
      <alignment horizontal="center" vertical="center"/>
    </xf>
    <xf numFmtId="0" fontId="26" fillId="39" borderId="85" xfId="2187" applyFont="1" applyFill="1" applyBorder="1" applyAlignment="1">
      <alignment horizontal="center" vertical="center"/>
    </xf>
    <xf numFmtId="0" fontId="26" fillId="0" borderId="28" xfId="2187" applyFont="1" applyBorder="1" applyAlignment="1">
      <alignment horizontal="center"/>
    </xf>
    <xf numFmtId="0" fontId="1" fillId="44" borderId="67" xfId="4055" applyFill="1" applyBorder="1" applyAlignment="1">
      <alignment horizontal="center"/>
    </xf>
    <xf numFmtId="0" fontId="1" fillId="44" borderId="68" xfId="4055" applyFill="1" applyBorder="1" applyAlignment="1">
      <alignment horizontal="center"/>
    </xf>
    <xf numFmtId="0" fontId="1" fillId="44" borderId="115" xfId="4055" applyFill="1" applyBorder="1" applyAlignment="1">
      <alignment horizontal="center"/>
    </xf>
    <xf numFmtId="0" fontId="1" fillId="44" borderId="96" xfId="4055" applyFill="1" applyBorder="1" applyAlignment="1">
      <alignment horizontal="center"/>
    </xf>
    <xf numFmtId="0" fontId="1" fillId="44" borderId="78" xfId="4055" applyFill="1" applyBorder="1" applyAlignment="1">
      <alignment horizontal="center"/>
    </xf>
    <xf numFmtId="0" fontId="1" fillId="44" borderId="66" xfId="4055" applyFill="1" applyBorder="1" applyAlignment="1">
      <alignment horizontal="center"/>
    </xf>
    <xf numFmtId="0" fontId="1" fillId="44" borderId="60" xfId="4055" applyFill="1" applyBorder="1" applyAlignment="1">
      <alignment horizontal="center"/>
    </xf>
    <xf numFmtId="0" fontId="1" fillId="44" borderId="69" xfId="4059" applyFill="1" applyBorder="1" applyAlignment="1">
      <alignment horizontal="center"/>
    </xf>
    <xf numFmtId="0" fontId="1" fillId="44" borderId="0" xfId="4059" applyFill="1" applyBorder="1" applyAlignment="1">
      <alignment horizontal="center"/>
    </xf>
    <xf numFmtId="0" fontId="1" fillId="44" borderId="70" xfId="4059" applyFill="1" applyBorder="1" applyAlignment="1">
      <alignment horizontal="center"/>
    </xf>
    <xf numFmtId="0" fontId="1" fillId="44" borderId="69" xfId="4061" applyFill="1" applyBorder="1" applyAlignment="1">
      <alignment horizontal="center"/>
    </xf>
    <xf numFmtId="0" fontId="1" fillId="44" borderId="0" xfId="4061" applyFill="1" applyBorder="1" applyAlignment="1">
      <alignment horizontal="center"/>
    </xf>
    <xf numFmtId="0" fontId="1" fillId="44" borderId="70" xfId="4061" applyFill="1" applyBorder="1" applyAlignment="1">
      <alignment horizontal="center"/>
    </xf>
    <xf numFmtId="0" fontId="1" fillId="44" borderId="69" xfId="4055" applyFill="1" applyBorder="1" applyAlignment="1">
      <alignment horizontal="center"/>
    </xf>
    <xf numFmtId="0" fontId="1" fillId="44" borderId="0" xfId="4055" applyFill="1" applyBorder="1" applyAlignment="1">
      <alignment horizontal="center"/>
    </xf>
    <xf numFmtId="0" fontId="1" fillId="44" borderId="70" xfId="4055" applyFill="1" applyBorder="1" applyAlignment="1">
      <alignment horizontal="center"/>
    </xf>
    <xf numFmtId="0" fontId="1" fillId="44" borderId="67" xfId="4061" applyFill="1" applyBorder="1" applyAlignment="1">
      <alignment horizontal="center"/>
    </xf>
    <xf numFmtId="0" fontId="1" fillId="44" borderId="68" xfId="4061" applyFill="1" applyBorder="1" applyAlignment="1">
      <alignment horizontal="center"/>
    </xf>
    <xf numFmtId="0" fontId="1" fillId="44" borderId="115" xfId="4061" applyFill="1" applyBorder="1" applyAlignment="1">
      <alignment horizontal="center"/>
    </xf>
    <xf numFmtId="0" fontId="1" fillId="44" borderId="96" xfId="4061" applyFill="1" applyBorder="1" applyAlignment="1">
      <alignment horizontal="center"/>
    </xf>
    <xf numFmtId="0" fontId="1" fillId="44" borderId="78" xfId="4061" applyFill="1" applyBorder="1" applyAlignment="1">
      <alignment horizontal="center"/>
    </xf>
    <xf numFmtId="0" fontId="1" fillId="44" borderId="66" xfId="4061" applyFill="1" applyBorder="1" applyAlignment="1">
      <alignment horizontal="center"/>
    </xf>
    <xf numFmtId="0" fontId="1" fillId="44" borderId="60" xfId="4061" applyFill="1" applyBorder="1" applyAlignment="1">
      <alignment horizontal="center"/>
    </xf>
    <xf numFmtId="0" fontId="1" fillId="44" borderId="97" xfId="4055" applyFill="1" applyBorder="1" applyAlignment="1">
      <alignment horizontal="center"/>
    </xf>
    <xf numFmtId="0" fontId="1" fillId="44" borderId="97" xfId="4059" applyFill="1" applyBorder="1" applyAlignment="1">
      <alignment horizontal="center"/>
    </xf>
    <xf numFmtId="0" fontId="1" fillId="44" borderId="96" xfId="4059" applyFill="1" applyBorder="1" applyAlignment="1">
      <alignment horizontal="center"/>
    </xf>
    <xf numFmtId="0" fontId="1" fillId="44" borderId="78" xfId="4059" applyFill="1" applyBorder="1" applyAlignment="1">
      <alignment horizontal="center"/>
    </xf>
    <xf numFmtId="0" fontId="1" fillId="44" borderId="67" xfId="4059" applyFill="1" applyBorder="1" applyAlignment="1">
      <alignment horizontal="center"/>
    </xf>
    <xf numFmtId="0" fontId="1" fillId="44" borderId="68" xfId="4059" applyFill="1" applyBorder="1" applyAlignment="1">
      <alignment horizontal="center"/>
    </xf>
    <xf numFmtId="0" fontId="1" fillId="44" borderId="115" xfId="4059" applyFill="1" applyBorder="1" applyAlignment="1">
      <alignment horizontal="center"/>
    </xf>
    <xf numFmtId="0" fontId="1" fillId="44" borderId="66" xfId="4059" applyFill="1" applyBorder="1" applyAlignment="1">
      <alignment horizontal="center"/>
    </xf>
    <xf numFmtId="0" fontId="1" fillId="44" borderId="60" xfId="4059" applyFill="1" applyBorder="1" applyAlignment="1">
      <alignment horizontal="center"/>
    </xf>
    <xf numFmtId="0" fontId="1" fillId="44" borderId="97" xfId="4061" applyFill="1" applyBorder="1" applyAlignment="1">
      <alignment horizontal="center"/>
    </xf>
    <xf numFmtId="0" fontId="24" fillId="0" borderId="19" xfId="54" applyBorder="1" applyAlignment="1">
      <alignment horizontal="left" vertical="center" wrapText="1" indent="1"/>
    </xf>
    <xf numFmtId="0" fontId="24" fillId="0" borderId="0" xfId="54" applyAlignment="1">
      <alignment vertical="center" wrapText="1"/>
    </xf>
    <xf numFmtId="0" fontId="24" fillId="0" borderId="0" xfId="54" applyAlignment="1">
      <alignment horizontal="left" vertical="center" wrapText="1" indent="1"/>
    </xf>
    <xf numFmtId="0" fontId="33" fillId="0" borderId="0" xfId="54" applyFont="1" applyAlignment="1">
      <alignment vertical="center" wrapText="1"/>
    </xf>
    <xf numFmtId="0" fontId="24" fillId="0" borderId="0" xfId="54" applyAlignment="1">
      <alignment horizontal="left" vertical="center" wrapText="1"/>
    </xf>
    <xf numFmtId="0" fontId="0" fillId="0" borderId="63" xfId="0" applyFill="1" applyBorder="1" applyAlignment="1">
      <alignment horizontal="center" vertical="center" wrapText="1"/>
    </xf>
    <xf numFmtId="0" fontId="0" fillId="0" borderId="64" xfId="0" applyFill="1" applyBorder="1" applyAlignment="1">
      <alignment horizontal="center" vertical="center" wrapText="1"/>
    </xf>
    <xf numFmtId="0" fontId="41" fillId="0" borderId="28" xfId="0" applyFont="1" applyBorder="1" applyAlignment="1">
      <alignment horizontal="center"/>
    </xf>
    <xf numFmtId="0" fontId="41" fillId="0" borderId="44" xfId="0" applyFont="1" applyBorder="1" applyAlignment="1">
      <alignment horizontal="center"/>
    </xf>
    <xf numFmtId="0" fontId="41" fillId="0" borderId="46" xfId="0" applyFont="1" applyBorder="1" applyAlignment="1">
      <alignment horizontal="center"/>
    </xf>
    <xf numFmtId="0" fontId="41" fillId="0" borderId="43" xfId="0" applyFont="1" applyBorder="1" applyAlignment="1">
      <alignment horizontal="center"/>
    </xf>
    <xf numFmtId="0" fontId="16" fillId="0" borderId="44" xfId="0" applyFont="1" applyBorder="1" applyAlignment="1">
      <alignment horizontal="left" vertical="top" wrapText="1"/>
    </xf>
    <xf numFmtId="0" fontId="44" fillId="0" borderId="46" xfId="0" applyFont="1" applyBorder="1" applyAlignment="1">
      <alignment horizontal="left" vertical="top" wrapText="1"/>
    </xf>
    <xf numFmtId="0" fontId="0" fillId="0" borderId="44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43" borderId="28" xfId="0" applyFill="1" applyBorder="1" applyAlignment="1">
      <alignment horizontal="center"/>
    </xf>
    <xf numFmtId="0" fontId="0" fillId="44" borderId="44" xfId="0" applyFill="1" applyBorder="1" applyAlignment="1">
      <alignment horizontal="center" vertical="center"/>
    </xf>
    <xf numFmtId="0" fontId="0" fillId="0" borderId="152" xfId="0" applyBorder="1" applyAlignment="1">
      <alignment horizontal="center"/>
    </xf>
    <xf numFmtId="0" fontId="0" fillId="0" borderId="127" xfId="0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9" fontId="0" fillId="0" borderId="175" xfId="0" applyNumberFormat="1" applyBorder="1" applyAlignment="1">
      <alignment horizontal="right" vertical="center" wrapText="1"/>
    </xf>
    <xf numFmtId="9" fontId="0" fillId="0" borderId="176" xfId="0" applyNumberFormat="1" applyBorder="1" applyAlignment="1">
      <alignment horizontal="right" vertical="center" wrapText="1"/>
    </xf>
    <xf numFmtId="9" fontId="0" fillId="0" borderId="167" xfId="0" applyNumberFormat="1" applyBorder="1" applyAlignment="1">
      <alignment horizontal="right" vertical="center" wrapText="1"/>
    </xf>
    <xf numFmtId="9" fontId="0" fillId="0" borderId="119" xfId="0" applyNumberFormat="1" applyBorder="1" applyAlignment="1">
      <alignment horizontal="right" vertical="center" wrapText="1"/>
    </xf>
    <xf numFmtId="9" fontId="0" fillId="0" borderId="180" xfId="0" applyNumberFormat="1" applyBorder="1" applyAlignment="1">
      <alignment horizontal="right" vertical="center" wrapText="1"/>
    </xf>
    <xf numFmtId="9" fontId="0" fillId="0" borderId="181" xfId="0" applyNumberFormat="1" applyBorder="1" applyAlignment="1">
      <alignment horizontal="right" vertical="center" wrapText="1"/>
    </xf>
    <xf numFmtId="0" fontId="0" fillId="0" borderId="146" xfId="0" applyBorder="1" applyAlignment="1">
      <alignment horizontal="center" wrapText="1"/>
    </xf>
    <xf numFmtId="0" fontId="0" fillId="0" borderId="148" xfId="0" applyBorder="1" applyAlignment="1">
      <alignment horizontal="center" wrapText="1"/>
    </xf>
    <xf numFmtId="0" fontId="0" fillId="0" borderId="146" xfId="0" applyBorder="1" applyAlignment="1">
      <alignment horizontal="center"/>
    </xf>
    <xf numFmtId="0" fontId="0" fillId="0" borderId="147" xfId="0" applyBorder="1" applyAlignment="1">
      <alignment horizontal="center"/>
    </xf>
    <xf numFmtId="0" fontId="0" fillId="0" borderId="148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62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133" xfId="0" applyBorder="1" applyAlignment="1">
      <alignment horizontal="center" vertical="center" wrapText="1"/>
    </xf>
    <xf numFmtId="0" fontId="0" fillId="0" borderId="134" xfId="0" applyBorder="1" applyAlignment="1">
      <alignment horizontal="center" vertical="center" wrapText="1"/>
    </xf>
    <xf numFmtId="0" fontId="0" fillId="0" borderId="135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33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152" xfId="0" applyBorder="1" applyAlignment="1">
      <alignment horizontal="center" wrapText="1"/>
    </xf>
    <xf numFmtId="0" fontId="0" fillId="0" borderId="128" xfId="0" applyBorder="1" applyAlignment="1">
      <alignment horizontal="center" wrapText="1"/>
    </xf>
    <xf numFmtId="0" fontId="0" fillId="0" borderId="69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164" fontId="0" fillId="0" borderId="123" xfId="0" applyNumberFormat="1" applyBorder="1" applyAlignment="1">
      <alignment horizontal="center"/>
    </xf>
    <xf numFmtId="164" fontId="0" fillId="0" borderId="124" xfId="0" applyNumberFormat="1" applyBorder="1" applyAlignment="1">
      <alignment horizontal="center"/>
    </xf>
    <xf numFmtId="164" fontId="0" fillId="0" borderId="125" xfId="0" applyNumberFormat="1" applyBorder="1" applyAlignment="1">
      <alignment horizontal="center"/>
    </xf>
    <xf numFmtId="164" fontId="0" fillId="0" borderId="152" xfId="0" applyNumberFormat="1" applyBorder="1" applyAlignment="1">
      <alignment horizontal="center"/>
    </xf>
    <xf numFmtId="164" fontId="0" fillId="0" borderId="127" xfId="0" applyNumberFormat="1" applyBorder="1" applyAlignment="1">
      <alignment horizontal="center"/>
    </xf>
    <xf numFmtId="164" fontId="0" fillId="0" borderId="128" xfId="0" applyNumberFormat="1" applyBorder="1" applyAlignment="1">
      <alignment horizontal="center"/>
    </xf>
    <xf numFmtId="0" fontId="84" fillId="0" borderId="0" xfId="0" applyFont="1" applyBorder="1" applyAlignment="1">
      <alignment horizontal="center"/>
    </xf>
  </cellXfs>
  <cellStyles count="4241">
    <cellStyle name="20% - Accent1" xfId="19" builtinId="30" customBuiltin="1"/>
    <cellStyle name="20% - Accent1 2" xfId="59"/>
    <cellStyle name="20% - Accent1 2 2" xfId="2070"/>
    <cellStyle name="20% - Accent1 3" xfId="2071"/>
    <cellStyle name="20% - Accent1 3 2" xfId="2072"/>
    <cellStyle name="20% - Accent2" xfId="23" builtinId="34" customBuiltin="1"/>
    <cellStyle name="20% - Accent2 2" xfId="60"/>
    <cellStyle name="20% - Accent2 2 2" xfId="2073"/>
    <cellStyle name="20% - Accent2 3" xfId="2074"/>
    <cellStyle name="20% - Accent2 3 2" xfId="2075"/>
    <cellStyle name="20% - Accent3" xfId="27" builtinId="38" customBuiltin="1"/>
    <cellStyle name="20% - Accent3 2" xfId="61"/>
    <cellStyle name="20% - Accent3 2 2" xfId="2076"/>
    <cellStyle name="20% - Accent3 3" xfId="2077"/>
    <cellStyle name="20% - Accent3 3 2" xfId="2078"/>
    <cellStyle name="20% - Accent4" xfId="31" builtinId="42" customBuiltin="1"/>
    <cellStyle name="20% - Accent4 2" xfId="62"/>
    <cellStyle name="20% - Accent4 2 2" xfId="2079"/>
    <cellStyle name="20% - Accent4 3" xfId="2080"/>
    <cellStyle name="20% - Accent4 3 2" xfId="2081"/>
    <cellStyle name="20% - Accent5" xfId="35" builtinId="46" customBuiltin="1"/>
    <cellStyle name="20% - Accent5 2" xfId="63"/>
    <cellStyle name="20% - Accent5 2 2" xfId="2082"/>
    <cellStyle name="20% - Accent5 3" xfId="2083"/>
    <cellStyle name="20% - Accent5 3 2" xfId="2084"/>
    <cellStyle name="20% - Accent6" xfId="39" builtinId="50" customBuiltin="1"/>
    <cellStyle name="20% - Accent6 2" xfId="64"/>
    <cellStyle name="20% - Accent6 2 2" xfId="2085"/>
    <cellStyle name="20% - Accent6 3" xfId="2086"/>
    <cellStyle name="20% - Accent6 3 2" xfId="2087"/>
    <cellStyle name="40% - Accent1" xfId="20" builtinId="31" customBuiltin="1"/>
    <cellStyle name="40% - Accent1 2" xfId="65"/>
    <cellStyle name="40% - Accent1 2 2" xfId="2088"/>
    <cellStyle name="40% - Accent1 3" xfId="2089"/>
    <cellStyle name="40% - Accent1 3 2" xfId="2090"/>
    <cellStyle name="40% - Accent2" xfId="24" builtinId="35" customBuiltin="1"/>
    <cellStyle name="40% - Accent2 2" xfId="66"/>
    <cellStyle name="40% - Accent2 2 2" xfId="2091"/>
    <cellStyle name="40% - Accent2 3" xfId="2092"/>
    <cellStyle name="40% - Accent2 3 2" xfId="2093"/>
    <cellStyle name="40% - Accent3" xfId="28" builtinId="39" customBuiltin="1"/>
    <cellStyle name="40% - Accent3 2" xfId="67"/>
    <cellStyle name="40% - Accent3 2 2" xfId="2094"/>
    <cellStyle name="40% - Accent3 3" xfId="2095"/>
    <cellStyle name="40% - Accent3 3 2" xfId="2096"/>
    <cellStyle name="40% - Accent4" xfId="32" builtinId="43" customBuiltin="1"/>
    <cellStyle name="40% - Accent4 2" xfId="68"/>
    <cellStyle name="40% - Accent4 2 2" xfId="2097"/>
    <cellStyle name="40% - Accent4 3" xfId="2098"/>
    <cellStyle name="40% - Accent4 3 2" xfId="2099"/>
    <cellStyle name="40% - Accent5" xfId="36" builtinId="47" customBuiltin="1"/>
    <cellStyle name="40% - Accent5 2" xfId="69"/>
    <cellStyle name="40% - Accent5 2 2" xfId="2100"/>
    <cellStyle name="40% - Accent5 3" xfId="2101"/>
    <cellStyle name="40% - Accent5 3 2" xfId="2102"/>
    <cellStyle name="40% - Accent6" xfId="40" builtinId="51" customBuiltin="1"/>
    <cellStyle name="40% - Accent6 2" xfId="70"/>
    <cellStyle name="40% - Accent6 2 2" xfId="2103"/>
    <cellStyle name="40% - Accent6 3" xfId="2104"/>
    <cellStyle name="40% - Accent6 3 2" xfId="2105"/>
    <cellStyle name="60% - Accent1" xfId="21" builtinId="32" customBuiltin="1"/>
    <cellStyle name="60% - Accent1 2" xfId="71"/>
    <cellStyle name="60% - Accent1 2 2" xfId="2106"/>
    <cellStyle name="60% - Accent1 3" xfId="2107"/>
    <cellStyle name="60% - Accent1 3 2" xfId="2108"/>
    <cellStyle name="60% - Accent2" xfId="25" builtinId="36" customBuiltin="1"/>
    <cellStyle name="60% - Accent2 2" xfId="72"/>
    <cellStyle name="60% - Accent2 2 2" xfId="2109"/>
    <cellStyle name="60% - Accent2 3" xfId="2110"/>
    <cellStyle name="60% - Accent2 3 2" xfId="2111"/>
    <cellStyle name="60% - Accent3" xfId="29" builtinId="40" customBuiltin="1"/>
    <cellStyle name="60% - Accent3 2" xfId="73"/>
    <cellStyle name="60% - Accent3 2 2" xfId="2112"/>
    <cellStyle name="60% - Accent3 3" xfId="2113"/>
    <cellStyle name="60% - Accent3 3 2" xfId="2114"/>
    <cellStyle name="60% - Accent4" xfId="33" builtinId="44" customBuiltin="1"/>
    <cellStyle name="60% - Accent4 2" xfId="74"/>
    <cellStyle name="60% - Accent4 2 2" xfId="2115"/>
    <cellStyle name="60% - Accent4 3" xfId="2116"/>
    <cellStyle name="60% - Accent4 3 2" xfId="2117"/>
    <cellStyle name="60% - Accent5" xfId="37" builtinId="48" customBuiltin="1"/>
    <cellStyle name="60% - Accent5 2" xfId="75"/>
    <cellStyle name="60% - Accent5 2 2" xfId="2118"/>
    <cellStyle name="60% - Accent5 3" xfId="2119"/>
    <cellStyle name="60% - Accent5 3 2" xfId="2120"/>
    <cellStyle name="60% - Accent6" xfId="41" builtinId="52" customBuiltin="1"/>
    <cellStyle name="60% - Accent6 2" xfId="76"/>
    <cellStyle name="60% - Accent6 2 2" xfId="2121"/>
    <cellStyle name="60% - Accent6 3" xfId="2122"/>
    <cellStyle name="60% - Accent6 3 2" xfId="2123"/>
    <cellStyle name="Accent1" xfId="18" builtinId="29" customBuiltin="1"/>
    <cellStyle name="Accent1 2" xfId="77"/>
    <cellStyle name="Accent1 2 2" xfId="2124"/>
    <cellStyle name="Accent1 3" xfId="2125"/>
    <cellStyle name="Accent1 3 2" xfId="2126"/>
    <cellStyle name="Accent2" xfId="22" builtinId="33" customBuiltin="1"/>
    <cellStyle name="Accent2 2" xfId="78"/>
    <cellStyle name="Accent2 2 2" xfId="2127"/>
    <cellStyle name="Accent2 3" xfId="2128"/>
    <cellStyle name="Accent2 3 2" xfId="2129"/>
    <cellStyle name="Accent3" xfId="26" builtinId="37" customBuiltin="1"/>
    <cellStyle name="Accent3 2" xfId="79"/>
    <cellStyle name="Accent3 2 2" xfId="2130"/>
    <cellStyle name="Accent3 3" xfId="2131"/>
    <cellStyle name="Accent3 3 2" xfId="2132"/>
    <cellStyle name="Accent4" xfId="30" builtinId="41" customBuiltin="1"/>
    <cellStyle name="Accent4 2" xfId="80"/>
    <cellStyle name="Accent4 2 2" xfId="2133"/>
    <cellStyle name="Accent4 3" xfId="2134"/>
    <cellStyle name="Accent4 3 2" xfId="2135"/>
    <cellStyle name="Accent5" xfId="34" builtinId="45" customBuiltin="1"/>
    <cellStyle name="Accent5 2" xfId="81"/>
    <cellStyle name="Accent5 2 2" xfId="2136"/>
    <cellStyle name="Accent5 3" xfId="2137"/>
    <cellStyle name="Accent5 3 2" xfId="2138"/>
    <cellStyle name="Accent6" xfId="38" builtinId="49" customBuiltin="1"/>
    <cellStyle name="Accent6 2" xfId="82"/>
    <cellStyle name="Accent6 2 2" xfId="2139"/>
    <cellStyle name="Accent6 3" xfId="2140"/>
    <cellStyle name="Accent6 3 2" xfId="2141"/>
    <cellStyle name="Bad" xfId="7" builtinId="27" customBuiltin="1"/>
    <cellStyle name="Bad 2" xfId="83"/>
    <cellStyle name="Bad 2 2" xfId="2142"/>
    <cellStyle name="Bad 3" xfId="2143"/>
    <cellStyle name="Bad 3 2" xfId="2144"/>
    <cellStyle name="Calculation" xfId="11" builtinId="22" customBuiltin="1"/>
    <cellStyle name="Calculation 2" xfId="84"/>
    <cellStyle name="Calculation 2 2" xfId="2145"/>
    <cellStyle name="Calculation 3" xfId="2146"/>
    <cellStyle name="Calculation 3 2" xfId="2147"/>
    <cellStyle name="Check Cell" xfId="13" builtinId="23" customBuiltin="1"/>
    <cellStyle name="Check Cell 2" xfId="85"/>
    <cellStyle name="Check Cell 2 2" xfId="2148"/>
    <cellStyle name="Check Cell 3" xfId="2149"/>
    <cellStyle name="Check Cell 3 2" xfId="2150"/>
    <cellStyle name="Comma [0] 2" xfId="86"/>
    <cellStyle name="Comma 2" xfId="87"/>
    <cellStyle name="Comma 2 2" xfId="2151"/>
    <cellStyle name="Comma 2 2 4" xfId="52"/>
    <cellStyle name="Comma 3" xfId="49"/>
    <cellStyle name="Comma 4" xfId="88"/>
    <cellStyle name="Currency [0] 2" xfId="89"/>
    <cellStyle name="Currency 2" xfId="90"/>
    <cellStyle name="Currency 2 2" xfId="91"/>
    <cellStyle name="Currency 3" xfId="92"/>
    <cellStyle name="Currency 3 2" xfId="2152"/>
    <cellStyle name="Currency 3 3" xfId="2153"/>
    <cellStyle name="Currency 4" xfId="2154"/>
    <cellStyle name="Explanatory Text" xfId="16" builtinId="53" customBuiltin="1"/>
    <cellStyle name="Explanatory Text 2" xfId="45"/>
    <cellStyle name="Explanatory Text 2 2" xfId="2155"/>
    <cellStyle name="Explanatory Text 3" xfId="2156"/>
    <cellStyle name="Explanatory Text 3 2" xfId="2157"/>
    <cellStyle name="Explanatory Text 4" xfId="2158"/>
    <cellStyle name="Good" xfId="6" builtinId="26" customBuiltin="1"/>
    <cellStyle name="Good 2" xfId="93"/>
    <cellStyle name="Good 2 2" xfId="2159"/>
    <cellStyle name="Good 3" xfId="2160"/>
    <cellStyle name="Good 3 2" xfId="2161"/>
    <cellStyle name="Heading 1" xfId="2" builtinId="16" customBuiltin="1"/>
    <cellStyle name="Heading 1 2" xfId="94"/>
    <cellStyle name="Heading 1 2 2" xfId="2162"/>
    <cellStyle name="Heading 1 3" xfId="2163"/>
    <cellStyle name="Heading 1 3 2" xfId="2164"/>
    <cellStyle name="Heading 2" xfId="3" builtinId="17" customBuiltin="1"/>
    <cellStyle name="Heading 2 2" xfId="95"/>
    <cellStyle name="Heading 2 2 2" xfId="2165"/>
    <cellStyle name="Heading 2 3" xfId="2166"/>
    <cellStyle name="Heading 2 3 2" xfId="2167"/>
    <cellStyle name="Heading 3" xfId="4" builtinId="18" customBuiltin="1"/>
    <cellStyle name="Heading 3 2" xfId="96"/>
    <cellStyle name="Heading 3 2 2" xfId="2168"/>
    <cellStyle name="Heading 3 3" xfId="2169"/>
    <cellStyle name="Heading 3 3 2" xfId="2170"/>
    <cellStyle name="Heading 4" xfId="5" builtinId="19" customBuiltin="1"/>
    <cellStyle name="Heading 4 2" xfId="97"/>
    <cellStyle name="Heading 4 2 2" xfId="2171"/>
    <cellStyle name="Heading 4 3" xfId="2172"/>
    <cellStyle name="Heading 4 3 2" xfId="2173"/>
    <cellStyle name="Hyperlink" xfId="43" builtinId="8"/>
    <cellStyle name="Hyperlink 2" xfId="48"/>
    <cellStyle name="Input" xfId="9" builtinId="20" customBuiltin="1"/>
    <cellStyle name="Input 2" xfId="98"/>
    <cellStyle name="Input 2 2" xfId="2174"/>
    <cellStyle name="Input 3" xfId="2175"/>
    <cellStyle name="Input 3 2" xfId="2176"/>
    <cellStyle name="Linked Cell" xfId="12" builtinId="24" customBuiltin="1"/>
    <cellStyle name="Linked Cell 2" xfId="99"/>
    <cellStyle name="Linked Cell 2 2" xfId="2177"/>
    <cellStyle name="Linked Cell 3" xfId="2178"/>
    <cellStyle name="Linked Cell 3 2" xfId="2179"/>
    <cellStyle name="Neutral" xfId="8" builtinId="28" customBuiltin="1"/>
    <cellStyle name="Neutral 2" xfId="100"/>
    <cellStyle name="Neutral 2 2" xfId="2180"/>
    <cellStyle name="Neutral 3" xfId="2181"/>
    <cellStyle name="Neutral 3 2" xfId="2182"/>
    <cellStyle name="Normal" xfId="0" builtinId="0"/>
    <cellStyle name="Normal 10" xfId="53"/>
    <cellStyle name="Normal 10 2" xfId="101"/>
    <cellStyle name="Normal 10 2 2" xfId="50"/>
    <cellStyle name="Normal 10 3" xfId="2183"/>
    <cellStyle name="Normal 10 4" xfId="2184"/>
    <cellStyle name="Normal 11" xfId="102"/>
    <cellStyle name="Normal 11 2" xfId="103"/>
    <cellStyle name="Normal 11 2 2" xfId="2185"/>
    <cellStyle name="Normal 12" xfId="104"/>
    <cellStyle name="Normal 12 2" xfId="105"/>
    <cellStyle name="Normal 12 2 2" xfId="2186"/>
    <cellStyle name="Normal 12 3" xfId="2187"/>
    <cellStyle name="Normal 13" xfId="106"/>
    <cellStyle name="Normal 13 2" xfId="107"/>
    <cellStyle name="Normal 13 3" xfId="2188"/>
    <cellStyle name="Normal 14" xfId="108"/>
    <cellStyle name="Normal 14 2" xfId="109"/>
    <cellStyle name="Normal 14 3" xfId="2189"/>
    <cellStyle name="Normal 15" xfId="110"/>
    <cellStyle name="Normal 15 2" xfId="111"/>
    <cellStyle name="Normal 15 3" xfId="2190"/>
    <cellStyle name="Normal 16" xfId="112"/>
    <cellStyle name="Normal 16 2" xfId="2191"/>
    <cellStyle name="Normal 17" xfId="113"/>
    <cellStyle name="Normal 17 2" xfId="114"/>
    <cellStyle name="Normal 17 3" xfId="2192"/>
    <cellStyle name="Normal 18" xfId="115"/>
    <cellStyle name="Normal 18 2" xfId="116"/>
    <cellStyle name="Normal 18 3" xfId="2193"/>
    <cellStyle name="Normal 19" xfId="117"/>
    <cellStyle name="Normal 19 2" xfId="118"/>
    <cellStyle name="Normal 19 3" xfId="2194"/>
    <cellStyle name="Normal 2" xfId="42"/>
    <cellStyle name="Normal 2 10" xfId="119"/>
    <cellStyle name="Normal 2 10 10" xfId="120"/>
    <cellStyle name="Normal 2 10 10 2" xfId="2195"/>
    <cellStyle name="Normal 2 10 11" xfId="121"/>
    <cellStyle name="Normal 2 10 11 2" xfId="2196"/>
    <cellStyle name="Normal 2 10 12" xfId="122"/>
    <cellStyle name="Normal 2 10 12 2" xfId="2197"/>
    <cellStyle name="Normal 2 10 13" xfId="123"/>
    <cellStyle name="Normal 2 10 13 2" xfId="2198"/>
    <cellStyle name="Normal 2 10 14" xfId="124"/>
    <cellStyle name="Normal 2 10 14 2" xfId="2199"/>
    <cellStyle name="Normal 2 10 15" xfId="125"/>
    <cellStyle name="Normal 2 10 15 2" xfId="2200"/>
    <cellStyle name="Normal 2 10 16" xfId="126"/>
    <cellStyle name="Normal 2 10 16 2" xfId="2201"/>
    <cellStyle name="Normal 2 10 17" xfId="127"/>
    <cellStyle name="Normal 2 10 17 2" xfId="2202"/>
    <cellStyle name="Normal 2 10 18" xfId="128"/>
    <cellStyle name="Normal 2 10 18 2" xfId="2203"/>
    <cellStyle name="Normal 2 10 19" xfId="129"/>
    <cellStyle name="Normal 2 10 19 2" xfId="2204"/>
    <cellStyle name="Normal 2 10 2" xfId="130"/>
    <cellStyle name="Normal 2 10 2 2" xfId="2205"/>
    <cellStyle name="Normal 2 10 20" xfId="131"/>
    <cellStyle name="Normal 2 10 20 2" xfId="2206"/>
    <cellStyle name="Normal 2 10 21" xfId="132"/>
    <cellStyle name="Normal 2 10 21 2" xfId="2207"/>
    <cellStyle name="Normal 2 10 22" xfId="133"/>
    <cellStyle name="Normal 2 10 22 2" xfId="2208"/>
    <cellStyle name="Normal 2 10 23" xfId="134"/>
    <cellStyle name="Normal 2 10 23 2" xfId="2209"/>
    <cellStyle name="Normal 2 10 24" xfId="2210"/>
    <cellStyle name="Normal 2 10 3" xfId="135"/>
    <cellStyle name="Normal 2 10 3 2" xfId="2211"/>
    <cellStyle name="Normal 2 10 4" xfId="136"/>
    <cellStyle name="Normal 2 10 4 2" xfId="2212"/>
    <cellStyle name="Normal 2 10 5" xfId="137"/>
    <cellStyle name="Normal 2 10 5 2" xfId="2213"/>
    <cellStyle name="Normal 2 10 6" xfId="138"/>
    <cellStyle name="Normal 2 10 6 2" xfId="2214"/>
    <cellStyle name="Normal 2 10 7" xfId="139"/>
    <cellStyle name="Normal 2 10 7 2" xfId="2215"/>
    <cellStyle name="Normal 2 10 8" xfId="140"/>
    <cellStyle name="Normal 2 10 8 2" xfId="2216"/>
    <cellStyle name="Normal 2 10 9" xfId="141"/>
    <cellStyle name="Normal 2 10 9 2" xfId="2217"/>
    <cellStyle name="Normal 2 100" xfId="142"/>
    <cellStyle name="Normal 2 100 2" xfId="2218"/>
    <cellStyle name="Normal 2 101" xfId="143"/>
    <cellStyle name="Normal 2 101 2" xfId="2219"/>
    <cellStyle name="Normal 2 102" xfId="144"/>
    <cellStyle name="Normal 2 102 2" xfId="2220"/>
    <cellStyle name="Normal 2 103" xfId="145"/>
    <cellStyle name="Normal 2 103 2" xfId="2221"/>
    <cellStyle name="Normal 2 104" xfId="2222"/>
    <cellStyle name="Normal 2 104 2 2" xfId="54"/>
    <cellStyle name="Normal 2 11" xfId="146"/>
    <cellStyle name="Normal 2 11 10" xfId="147"/>
    <cellStyle name="Normal 2 11 10 2" xfId="2223"/>
    <cellStyle name="Normal 2 11 11" xfId="148"/>
    <cellStyle name="Normal 2 11 11 2" xfId="2224"/>
    <cellStyle name="Normal 2 11 12" xfId="149"/>
    <cellStyle name="Normal 2 11 12 2" xfId="2225"/>
    <cellStyle name="Normal 2 11 13" xfId="150"/>
    <cellStyle name="Normal 2 11 13 2" xfId="2226"/>
    <cellStyle name="Normal 2 11 14" xfId="151"/>
    <cellStyle name="Normal 2 11 14 2" xfId="2227"/>
    <cellStyle name="Normal 2 11 15" xfId="152"/>
    <cellStyle name="Normal 2 11 15 2" xfId="2228"/>
    <cellStyle name="Normal 2 11 16" xfId="153"/>
    <cellStyle name="Normal 2 11 16 2" xfId="2229"/>
    <cellStyle name="Normal 2 11 17" xfId="154"/>
    <cellStyle name="Normal 2 11 17 2" xfId="2230"/>
    <cellStyle name="Normal 2 11 18" xfId="155"/>
    <cellStyle name="Normal 2 11 18 2" xfId="2231"/>
    <cellStyle name="Normal 2 11 19" xfId="156"/>
    <cellStyle name="Normal 2 11 19 2" xfId="2232"/>
    <cellStyle name="Normal 2 11 2" xfId="157"/>
    <cellStyle name="Normal 2 11 2 2" xfId="2233"/>
    <cellStyle name="Normal 2 11 20" xfId="158"/>
    <cellStyle name="Normal 2 11 20 2" xfId="2234"/>
    <cellStyle name="Normal 2 11 21" xfId="159"/>
    <cellStyle name="Normal 2 11 21 2" xfId="2235"/>
    <cellStyle name="Normal 2 11 22" xfId="160"/>
    <cellStyle name="Normal 2 11 22 2" xfId="2236"/>
    <cellStyle name="Normal 2 11 23" xfId="161"/>
    <cellStyle name="Normal 2 11 23 2" xfId="2237"/>
    <cellStyle name="Normal 2 11 24" xfId="2238"/>
    <cellStyle name="Normal 2 11 3" xfId="162"/>
    <cellStyle name="Normal 2 11 3 2" xfId="2239"/>
    <cellStyle name="Normal 2 11 4" xfId="163"/>
    <cellStyle name="Normal 2 11 4 2" xfId="2240"/>
    <cellStyle name="Normal 2 11 5" xfId="164"/>
    <cellStyle name="Normal 2 11 5 2" xfId="2241"/>
    <cellStyle name="Normal 2 11 6" xfId="165"/>
    <cellStyle name="Normal 2 11 6 2" xfId="2242"/>
    <cellStyle name="Normal 2 11 7" xfId="166"/>
    <cellStyle name="Normal 2 11 7 2" xfId="2243"/>
    <cellStyle name="Normal 2 11 8" xfId="167"/>
    <cellStyle name="Normal 2 11 8 2" xfId="2244"/>
    <cellStyle name="Normal 2 11 9" xfId="168"/>
    <cellStyle name="Normal 2 11 9 2" xfId="2245"/>
    <cellStyle name="Normal 2 12" xfId="169"/>
    <cellStyle name="Normal 2 12 10" xfId="170"/>
    <cellStyle name="Normal 2 12 10 2" xfId="2246"/>
    <cellStyle name="Normal 2 12 11" xfId="171"/>
    <cellStyle name="Normal 2 12 11 2" xfId="2247"/>
    <cellStyle name="Normal 2 12 12" xfId="172"/>
    <cellStyle name="Normal 2 12 12 2" xfId="2248"/>
    <cellStyle name="Normal 2 12 13" xfId="173"/>
    <cellStyle name="Normal 2 12 13 2" xfId="2249"/>
    <cellStyle name="Normal 2 12 14" xfId="174"/>
    <cellStyle name="Normal 2 12 14 2" xfId="2250"/>
    <cellStyle name="Normal 2 12 15" xfId="175"/>
    <cellStyle name="Normal 2 12 15 2" xfId="2251"/>
    <cellStyle name="Normal 2 12 16" xfId="176"/>
    <cellStyle name="Normal 2 12 16 2" xfId="2252"/>
    <cellStyle name="Normal 2 12 17" xfId="177"/>
    <cellStyle name="Normal 2 12 17 2" xfId="2253"/>
    <cellStyle name="Normal 2 12 18" xfId="178"/>
    <cellStyle name="Normal 2 12 18 2" xfId="2254"/>
    <cellStyle name="Normal 2 12 19" xfId="179"/>
    <cellStyle name="Normal 2 12 19 2" xfId="2255"/>
    <cellStyle name="Normal 2 12 2" xfId="180"/>
    <cellStyle name="Normal 2 12 2 2" xfId="2256"/>
    <cellStyle name="Normal 2 12 20" xfId="181"/>
    <cellStyle name="Normal 2 12 20 2" xfId="2257"/>
    <cellStyle name="Normal 2 12 21" xfId="182"/>
    <cellStyle name="Normal 2 12 21 2" xfId="2258"/>
    <cellStyle name="Normal 2 12 22" xfId="183"/>
    <cellStyle name="Normal 2 12 22 2" xfId="2259"/>
    <cellStyle name="Normal 2 12 23" xfId="184"/>
    <cellStyle name="Normal 2 12 23 2" xfId="2260"/>
    <cellStyle name="Normal 2 12 24" xfId="2261"/>
    <cellStyle name="Normal 2 12 3" xfId="185"/>
    <cellStyle name="Normal 2 12 3 2" xfId="2262"/>
    <cellStyle name="Normal 2 12 4" xfId="186"/>
    <cellStyle name="Normal 2 12 4 2" xfId="2263"/>
    <cellStyle name="Normal 2 12 5" xfId="187"/>
    <cellStyle name="Normal 2 12 5 2" xfId="2264"/>
    <cellStyle name="Normal 2 12 6" xfId="188"/>
    <cellStyle name="Normal 2 12 6 2" xfId="2265"/>
    <cellStyle name="Normal 2 12 7" xfId="189"/>
    <cellStyle name="Normal 2 12 7 2" xfId="2266"/>
    <cellStyle name="Normal 2 12 8" xfId="190"/>
    <cellStyle name="Normal 2 12 8 2" xfId="2267"/>
    <cellStyle name="Normal 2 12 9" xfId="191"/>
    <cellStyle name="Normal 2 12 9 2" xfId="2268"/>
    <cellStyle name="Normal 2 13" xfId="192"/>
    <cellStyle name="Normal 2 13 10" xfId="193"/>
    <cellStyle name="Normal 2 13 10 2" xfId="2269"/>
    <cellStyle name="Normal 2 13 11" xfId="194"/>
    <cellStyle name="Normal 2 13 11 2" xfId="2270"/>
    <cellStyle name="Normal 2 13 12" xfId="195"/>
    <cellStyle name="Normal 2 13 12 2" xfId="2271"/>
    <cellStyle name="Normal 2 13 13" xfId="196"/>
    <cellStyle name="Normal 2 13 13 2" xfId="2272"/>
    <cellStyle name="Normal 2 13 14" xfId="197"/>
    <cellStyle name="Normal 2 13 14 2" xfId="2273"/>
    <cellStyle name="Normal 2 13 15" xfId="198"/>
    <cellStyle name="Normal 2 13 15 2" xfId="2274"/>
    <cellStyle name="Normal 2 13 16" xfId="199"/>
    <cellStyle name="Normal 2 13 16 2" xfId="2275"/>
    <cellStyle name="Normal 2 13 17" xfId="200"/>
    <cellStyle name="Normal 2 13 17 2" xfId="2276"/>
    <cellStyle name="Normal 2 13 18" xfId="201"/>
    <cellStyle name="Normal 2 13 18 2" xfId="2277"/>
    <cellStyle name="Normal 2 13 19" xfId="202"/>
    <cellStyle name="Normal 2 13 19 2" xfId="2278"/>
    <cellStyle name="Normal 2 13 2" xfId="203"/>
    <cellStyle name="Normal 2 13 2 2" xfId="2279"/>
    <cellStyle name="Normal 2 13 20" xfId="204"/>
    <cellStyle name="Normal 2 13 20 2" xfId="2280"/>
    <cellStyle name="Normal 2 13 21" xfId="205"/>
    <cellStyle name="Normal 2 13 21 2" xfId="2281"/>
    <cellStyle name="Normal 2 13 22" xfId="206"/>
    <cellStyle name="Normal 2 13 22 2" xfId="2282"/>
    <cellStyle name="Normal 2 13 23" xfId="207"/>
    <cellStyle name="Normal 2 13 23 2" xfId="2283"/>
    <cellStyle name="Normal 2 13 24" xfId="2284"/>
    <cellStyle name="Normal 2 13 3" xfId="208"/>
    <cellStyle name="Normal 2 13 3 2" xfId="2285"/>
    <cellStyle name="Normal 2 13 4" xfId="209"/>
    <cellStyle name="Normal 2 13 4 2" xfId="2286"/>
    <cellStyle name="Normal 2 13 5" xfId="210"/>
    <cellStyle name="Normal 2 13 5 2" xfId="2287"/>
    <cellStyle name="Normal 2 13 6" xfId="211"/>
    <cellStyle name="Normal 2 13 6 2" xfId="2288"/>
    <cellStyle name="Normal 2 13 7" xfId="212"/>
    <cellStyle name="Normal 2 13 7 2" xfId="2289"/>
    <cellStyle name="Normal 2 13 8" xfId="213"/>
    <cellStyle name="Normal 2 13 8 2" xfId="2290"/>
    <cellStyle name="Normal 2 13 9" xfId="214"/>
    <cellStyle name="Normal 2 13 9 2" xfId="2291"/>
    <cellStyle name="Normal 2 14" xfId="215"/>
    <cellStyle name="Normal 2 14 10" xfId="216"/>
    <cellStyle name="Normal 2 14 10 2" xfId="2292"/>
    <cellStyle name="Normal 2 14 11" xfId="217"/>
    <cellStyle name="Normal 2 14 11 2" xfId="2293"/>
    <cellStyle name="Normal 2 14 12" xfId="218"/>
    <cellStyle name="Normal 2 14 12 2" xfId="2294"/>
    <cellStyle name="Normal 2 14 13" xfId="219"/>
    <cellStyle name="Normal 2 14 13 2" xfId="2295"/>
    <cellStyle name="Normal 2 14 14" xfId="220"/>
    <cellStyle name="Normal 2 14 14 2" xfId="2296"/>
    <cellStyle name="Normal 2 14 15" xfId="221"/>
    <cellStyle name="Normal 2 14 15 2" xfId="2297"/>
    <cellStyle name="Normal 2 14 16" xfId="222"/>
    <cellStyle name="Normal 2 14 16 2" xfId="2298"/>
    <cellStyle name="Normal 2 14 17" xfId="223"/>
    <cellStyle name="Normal 2 14 17 2" xfId="2299"/>
    <cellStyle name="Normal 2 14 18" xfId="224"/>
    <cellStyle name="Normal 2 14 18 2" xfId="2300"/>
    <cellStyle name="Normal 2 14 19" xfId="225"/>
    <cellStyle name="Normal 2 14 19 2" xfId="2301"/>
    <cellStyle name="Normal 2 14 2" xfId="226"/>
    <cellStyle name="Normal 2 14 2 2" xfId="2302"/>
    <cellStyle name="Normal 2 14 20" xfId="227"/>
    <cellStyle name="Normal 2 14 20 2" xfId="2303"/>
    <cellStyle name="Normal 2 14 21" xfId="228"/>
    <cellStyle name="Normal 2 14 21 2" xfId="2304"/>
    <cellStyle name="Normal 2 14 22" xfId="229"/>
    <cellStyle name="Normal 2 14 22 2" xfId="2305"/>
    <cellStyle name="Normal 2 14 23" xfId="230"/>
    <cellStyle name="Normal 2 14 23 2" xfId="2306"/>
    <cellStyle name="Normal 2 14 24" xfId="2307"/>
    <cellStyle name="Normal 2 14 3" xfId="231"/>
    <cellStyle name="Normal 2 14 3 2" xfId="2308"/>
    <cellStyle name="Normal 2 14 4" xfId="232"/>
    <cellStyle name="Normal 2 14 4 2" xfId="2309"/>
    <cellStyle name="Normal 2 14 5" xfId="233"/>
    <cellStyle name="Normal 2 14 5 2" xfId="2310"/>
    <cellStyle name="Normal 2 14 6" xfId="234"/>
    <cellStyle name="Normal 2 14 6 2" xfId="2311"/>
    <cellStyle name="Normal 2 14 7" xfId="235"/>
    <cellStyle name="Normal 2 14 7 2" xfId="2312"/>
    <cellStyle name="Normal 2 14 8" xfId="236"/>
    <cellStyle name="Normal 2 14 8 2" xfId="2313"/>
    <cellStyle name="Normal 2 14 9" xfId="237"/>
    <cellStyle name="Normal 2 14 9 2" xfId="2314"/>
    <cellStyle name="Normal 2 15" xfId="238"/>
    <cellStyle name="Normal 2 15 10" xfId="239"/>
    <cellStyle name="Normal 2 15 10 2" xfId="2315"/>
    <cellStyle name="Normal 2 15 11" xfId="240"/>
    <cellStyle name="Normal 2 15 11 2" xfId="2316"/>
    <cellStyle name="Normal 2 15 12" xfId="241"/>
    <cellStyle name="Normal 2 15 12 2" xfId="2317"/>
    <cellStyle name="Normal 2 15 13" xfId="242"/>
    <cellStyle name="Normal 2 15 13 2" xfId="2318"/>
    <cellStyle name="Normal 2 15 14" xfId="243"/>
    <cellStyle name="Normal 2 15 14 2" xfId="2319"/>
    <cellStyle name="Normal 2 15 15" xfId="244"/>
    <cellStyle name="Normal 2 15 15 2" xfId="2320"/>
    <cellStyle name="Normal 2 15 16" xfId="245"/>
    <cellStyle name="Normal 2 15 16 2" xfId="2321"/>
    <cellStyle name="Normal 2 15 17" xfId="246"/>
    <cellStyle name="Normal 2 15 17 2" xfId="2322"/>
    <cellStyle name="Normal 2 15 18" xfId="247"/>
    <cellStyle name="Normal 2 15 18 2" xfId="2323"/>
    <cellStyle name="Normal 2 15 19" xfId="248"/>
    <cellStyle name="Normal 2 15 19 2" xfId="2324"/>
    <cellStyle name="Normal 2 15 2" xfId="249"/>
    <cellStyle name="Normal 2 15 2 2" xfId="2325"/>
    <cellStyle name="Normal 2 15 20" xfId="250"/>
    <cellStyle name="Normal 2 15 20 2" xfId="2326"/>
    <cellStyle name="Normal 2 15 21" xfId="251"/>
    <cellStyle name="Normal 2 15 21 2" xfId="2327"/>
    <cellStyle name="Normal 2 15 22" xfId="252"/>
    <cellStyle name="Normal 2 15 22 2" xfId="2328"/>
    <cellStyle name="Normal 2 15 23" xfId="253"/>
    <cellStyle name="Normal 2 15 23 2" xfId="2329"/>
    <cellStyle name="Normal 2 15 24" xfId="2330"/>
    <cellStyle name="Normal 2 15 3" xfId="254"/>
    <cellStyle name="Normal 2 15 3 2" xfId="2331"/>
    <cellStyle name="Normal 2 15 4" xfId="255"/>
    <cellStyle name="Normal 2 15 4 2" xfId="2332"/>
    <cellStyle name="Normal 2 15 5" xfId="256"/>
    <cellStyle name="Normal 2 15 5 2" xfId="2333"/>
    <cellStyle name="Normal 2 15 6" xfId="257"/>
    <cellStyle name="Normal 2 15 6 2" xfId="2334"/>
    <cellStyle name="Normal 2 15 7" xfId="258"/>
    <cellStyle name="Normal 2 15 7 2" xfId="2335"/>
    <cellStyle name="Normal 2 15 8" xfId="259"/>
    <cellStyle name="Normal 2 15 8 2" xfId="2336"/>
    <cellStyle name="Normal 2 15 9" xfId="260"/>
    <cellStyle name="Normal 2 15 9 2" xfId="2337"/>
    <cellStyle name="Normal 2 16" xfId="261"/>
    <cellStyle name="Normal 2 16 10" xfId="262"/>
    <cellStyle name="Normal 2 16 10 2" xfId="2338"/>
    <cellStyle name="Normal 2 16 11" xfId="263"/>
    <cellStyle name="Normal 2 16 11 2" xfId="2339"/>
    <cellStyle name="Normal 2 16 12" xfId="264"/>
    <cellStyle name="Normal 2 16 12 2" xfId="2340"/>
    <cellStyle name="Normal 2 16 13" xfId="265"/>
    <cellStyle name="Normal 2 16 13 2" xfId="2341"/>
    <cellStyle name="Normal 2 16 14" xfId="266"/>
    <cellStyle name="Normal 2 16 14 2" xfId="2342"/>
    <cellStyle name="Normal 2 16 15" xfId="267"/>
    <cellStyle name="Normal 2 16 15 2" xfId="2343"/>
    <cellStyle name="Normal 2 16 16" xfId="268"/>
    <cellStyle name="Normal 2 16 16 2" xfId="2344"/>
    <cellStyle name="Normal 2 16 17" xfId="269"/>
    <cellStyle name="Normal 2 16 17 2" xfId="2345"/>
    <cellStyle name="Normal 2 16 18" xfId="270"/>
    <cellStyle name="Normal 2 16 18 2" xfId="2346"/>
    <cellStyle name="Normal 2 16 19" xfId="271"/>
    <cellStyle name="Normal 2 16 19 2" xfId="2347"/>
    <cellStyle name="Normal 2 16 2" xfId="272"/>
    <cellStyle name="Normal 2 16 2 2" xfId="2348"/>
    <cellStyle name="Normal 2 16 20" xfId="273"/>
    <cellStyle name="Normal 2 16 20 2" xfId="2349"/>
    <cellStyle name="Normal 2 16 21" xfId="274"/>
    <cellStyle name="Normal 2 16 21 2" xfId="2350"/>
    <cellStyle name="Normal 2 16 22" xfId="275"/>
    <cellStyle name="Normal 2 16 22 2" xfId="2351"/>
    <cellStyle name="Normal 2 16 23" xfId="276"/>
    <cellStyle name="Normal 2 16 23 2" xfId="2352"/>
    <cellStyle name="Normal 2 16 24" xfId="2353"/>
    <cellStyle name="Normal 2 16 3" xfId="277"/>
    <cellStyle name="Normal 2 16 3 2" xfId="2354"/>
    <cellStyle name="Normal 2 16 4" xfId="278"/>
    <cellStyle name="Normal 2 16 4 2" xfId="2355"/>
    <cellStyle name="Normal 2 16 5" xfId="279"/>
    <cellStyle name="Normal 2 16 5 2" xfId="2356"/>
    <cellStyle name="Normal 2 16 6" xfId="280"/>
    <cellStyle name="Normal 2 16 6 2" xfId="2357"/>
    <cellStyle name="Normal 2 16 7" xfId="281"/>
    <cellStyle name="Normal 2 16 7 2" xfId="2358"/>
    <cellStyle name="Normal 2 16 8" xfId="282"/>
    <cellStyle name="Normal 2 16 8 2" xfId="2359"/>
    <cellStyle name="Normal 2 16 9" xfId="283"/>
    <cellStyle name="Normal 2 16 9 2" xfId="2360"/>
    <cellStyle name="Normal 2 17" xfId="284"/>
    <cellStyle name="Normal 2 17 10" xfId="285"/>
    <cellStyle name="Normal 2 17 10 2" xfId="2361"/>
    <cellStyle name="Normal 2 17 11" xfId="286"/>
    <cellStyle name="Normal 2 17 11 2" xfId="2362"/>
    <cellStyle name="Normal 2 17 12" xfId="287"/>
    <cellStyle name="Normal 2 17 12 2" xfId="2363"/>
    <cellStyle name="Normal 2 17 13" xfId="288"/>
    <cellStyle name="Normal 2 17 13 2" xfId="2364"/>
    <cellStyle name="Normal 2 17 14" xfId="289"/>
    <cellStyle name="Normal 2 17 14 2" xfId="2365"/>
    <cellStyle name="Normal 2 17 15" xfId="290"/>
    <cellStyle name="Normal 2 17 15 2" xfId="2366"/>
    <cellStyle name="Normal 2 17 16" xfId="291"/>
    <cellStyle name="Normal 2 17 16 2" xfId="2367"/>
    <cellStyle name="Normal 2 17 17" xfId="292"/>
    <cellStyle name="Normal 2 17 17 2" xfId="2368"/>
    <cellStyle name="Normal 2 17 18" xfId="293"/>
    <cellStyle name="Normal 2 17 18 2" xfId="2369"/>
    <cellStyle name="Normal 2 17 19" xfId="294"/>
    <cellStyle name="Normal 2 17 19 2" xfId="2370"/>
    <cellStyle name="Normal 2 17 2" xfId="295"/>
    <cellStyle name="Normal 2 17 2 2" xfId="2371"/>
    <cellStyle name="Normal 2 17 20" xfId="296"/>
    <cellStyle name="Normal 2 17 20 2" xfId="2372"/>
    <cellStyle name="Normal 2 17 21" xfId="297"/>
    <cellStyle name="Normal 2 17 21 2" xfId="2373"/>
    <cellStyle name="Normal 2 17 22" xfId="298"/>
    <cellStyle name="Normal 2 17 22 2" xfId="2374"/>
    <cellStyle name="Normal 2 17 23" xfId="299"/>
    <cellStyle name="Normal 2 17 23 2" xfId="2375"/>
    <cellStyle name="Normal 2 17 24" xfId="2376"/>
    <cellStyle name="Normal 2 17 3" xfId="300"/>
    <cellStyle name="Normal 2 17 3 2" xfId="2377"/>
    <cellStyle name="Normal 2 17 4" xfId="301"/>
    <cellStyle name="Normal 2 17 4 2" xfId="2378"/>
    <cellStyle name="Normal 2 17 5" xfId="302"/>
    <cellStyle name="Normal 2 17 5 2" xfId="2379"/>
    <cellStyle name="Normal 2 17 6" xfId="303"/>
    <cellStyle name="Normal 2 17 6 2" xfId="2380"/>
    <cellStyle name="Normal 2 17 7" xfId="304"/>
    <cellStyle name="Normal 2 17 7 2" xfId="2381"/>
    <cellStyle name="Normal 2 17 8" xfId="305"/>
    <cellStyle name="Normal 2 17 8 2" xfId="2382"/>
    <cellStyle name="Normal 2 17 9" xfId="306"/>
    <cellStyle name="Normal 2 17 9 2" xfId="2383"/>
    <cellStyle name="Normal 2 18" xfId="307"/>
    <cellStyle name="Normal 2 18 10" xfId="308"/>
    <cellStyle name="Normal 2 18 10 2" xfId="2384"/>
    <cellStyle name="Normal 2 18 11" xfId="309"/>
    <cellStyle name="Normal 2 18 11 2" xfId="2385"/>
    <cellStyle name="Normal 2 18 12" xfId="310"/>
    <cellStyle name="Normal 2 18 12 2" xfId="2386"/>
    <cellStyle name="Normal 2 18 13" xfId="311"/>
    <cellStyle name="Normal 2 18 13 2" xfId="2387"/>
    <cellStyle name="Normal 2 18 14" xfId="312"/>
    <cellStyle name="Normal 2 18 14 2" xfId="2388"/>
    <cellStyle name="Normal 2 18 15" xfId="313"/>
    <cellStyle name="Normal 2 18 15 2" xfId="2389"/>
    <cellStyle name="Normal 2 18 16" xfId="314"/>
    <cellStyle name="Normal 2 18 16 2" xfId="2390"/>
    <cellStyle name="Normal 2 18 17" xfId="315"/>
    <cellStyle name="Normal 2 18 17 2" xfId="2391"/>
    <cellStyle name="Normal 2 18 18" xfId="316"/>
    <cellStyle name="Normal 2 18 18 2" xfId="2392"/>
    <cellStyle name="Normal 2 18 19" xfId="317"/>
    <cellStyle name="Normal 2 18 19 2" xfId="2393"/>
    <cellStyle name="Normal 2 18 2" xfId="318"/>
    <cellStyle name="Normal 2 18 2 2" xfId="2394"/>
    <cellStyle name="Normal 2 18 20" xfId="319"/>
    <cellStyle name="Normal 2 18 20 2" xfId="2395"/>
    <cellStyle name="Normal 2 18 21" xfId="320"/>
    <cellStyle name="Normal 2 18 21 2" xfId="2396"/>
    <cellStyle name="Normal 2 18 22" xfId="321"/>
    <cellStyle name="Normal 2 18 22 2" xfId="2397"/>
    <cellStyle name="Normal 2 18 23" xfId="322"/>
    <cellStyle name="Normal 2 18 23 2" xfId="2398"/>
    <cellStyle name="Normal 2 18 24" xfId="2399"/>
    <cellStyle name="Normal 2 18 3" xfId="323"/>
    <cellStyle name="Normal 2 18 3 2" xfId="2400"/>
    <cellStyle name="Normal 2 18 4" xfId="324"/>
    <cellStyle name="Normal 2 18 4 2" xfId="2401"/>
    <cellStyle name="Normal 2 18 5" xfId="325"/>
    <cellStyle name="Normal 2 18 5 2" xfId="2402"/>
    <cellStyle name="Normal 2 18 6" xfId="326"/>
    <cellStyle name="Normal 2 18 6 2" xfId="2403"/>
    <cellStyle name="Normal 2 18 7" xfId="327"/>
    <cellStyle name="Normal 2 18 7 2" xfId="2404"/>
    <cellStyle name="Normal 2 18 8" xfId="328"/>
    <cellStyle name="Normal 2 18 8 2" xfId="2405"/>
    <cellStyle name="Normal 2 18 9" xfId="329"/>
    <cellStyle name="Normal 2 18 9 2" xfId="2406"/>
    <cellStyle name="Normal 2 19" xfId="330"/>
    <cellStyle name="Normal 2 19 10" xfId="331"/>
    <cellStyle name="Normal 2 19 10 2" xfId="2407"/>
    <cellStyle name="Normal 2 19 11" xfId="332"/>
    <cellStyle name="Normal 2 19 11 2" xfId="2408"/>
    <cellStyle name="Normal 2 19 12" xfId="333"/>
    <cellStyle name="Normal 2 19 12 2" xfId="2409"/>
    <cellStyle name="Normal 2 19 13" xfId="334"/>
    <cellStyle name="Normal 2 19 13 2" xfId="2410"/>
    <cellStyle name="Normal 2 19 14" xfId="335"/>
    <cellStyle name="Normal 2 19 14 2" xfId="2411"/>
    <cellStyle name="Normal 2 19 15" xfId="336"/>
    <cellStyle name="Normal 2 19 15 2" xfId="2412"/>
    <cellStyle name="Normal 2 19 16" xfId="337"/>
    <cellStyle name="Normal 2 19 16 2" xfId="2413"/>
    <cellStyle name="Normal 2 19 17" xfId="338"/>
    <cellStyle name="Normal 2 19 17 2" xfId="2414"/>
    <cellStyle name="Normal 2 19 18" xfId="339"/>
    <cellStyle name="Normal 2 19 18 2" xfId="2415"/>
    <cellStyle name="Normal 2 19 19" xfId="340"/>
    <cellStyle name="Normal 2 19 19 2" xfId="2416"/>
    <cellStyle name="Normal 2 19 2" xfId="341"/>
    <cellStyle name="Normal 2 19 2 2" xfId="2417"/>
    <cellStyle name="Normal 2 19 20" xfId="342"/>
    <cellStyle name="Normal 2 19 20 2" xfId="2418"/>
    <cellStyle name="Normal 2 19 21" xfId="343"/>
    <cellStyle name="Normal 2 19 21 2" xfId="2419"/>
    <cellStyle name="Normal 2 19 22" xfId="344"/>
    <cellStyle name="Normal 2 19 22 2" xfId="2420"/>
    <cellStyle name="Normal 2 19 23" xfId="345"/>
    <cellStyle name="Normal 2 19 23 2" xfId="2421"/>
    <cellStyle name="Normal 2 19 24" xfId="2422"/>
    <cellStyle name="Normal 2 19 3" xfId="346"/>
    <cellStyle name="Normal 2 19 3 2" xfId="2423"/>
    <cellStyle name="Normal 2 19 4" xfId="347"/>
    <cellStyle name="Normal 2 19 4 2" xfId="2424"/>
    <cellStyle name="Normal 2 19 5" xfId="348"/>
    <cellStyle name="Normal 2 19 5 2" xfId="2425"/>
    <cellStyle name="Normal 2 19 6" xfId="349"/>
    <cellStyle name="Normal 2 19 6 2" xfId="2426"/>
    <cellStyle name="Normal 2 19 7" xfId="350"/>
    <cellStyle name="Normal 2 19 7 2" xfId="2427"/>
    <cellStyle name="Normal 2 19 8" xfId="351"/>
    <cellStyle name="Normal 2 19 8 2" xfId="2428"/>
    <cellStyle name="Normal 2 19 9" xfId="352"/>
    <cellStyle name="Normal 2 19 9 2" xfId="2429"/>
    <cellStyle name="Normal 2 2" xfId="353"/>
    <cellStyle name="Normal 2 2 2" xfId="354"/>
    <cellStyle name="Normal 2 2 2 2" xfId="2430"/>
    <cellStyle name="Normal 2 20" xfId="355"/>
    <cellStyle name="Normal 2 20 10" xfId="356"/>
    <cellStyle name="Normal 2 20 10 2" xfId="2431"/>
    <cellStyle name="Normal 2 20 11" xfId="357"/>
    <cellStyle name="Normal 2 20 11 2" xfId="2432"/>
    <cellStyle name="Normal 2 20 12" xfId="358"/>
    <cellStyle name="Normal 2 20 12 2" xfId="2433"/>
    <cellStyle name="Normal 2 20 13" xfId="359"/>
    <cellStyle name="Normal 2 20 13 2" xfId="2434"/>
    <cellStyle name="Normal 2 20 14" xfId="360"/>
    <cellStyle name="Normal 2 20 14 2" xfId="2435"/>
    <cellStyle name="Normal 2 20 15" xfId="361"/>
    <cellStyle name="Normal 2 20 15 2" xfId="2436"/>
    <cellStyle name="Normal 2 20 16" xfId="362"/>
    <cellStyle name="Normal 2 20 16 2" xfId="2437"/>
    <cellStyle name="Normal 2 20 17" xfId="363"/>
    <cellStyle name="Normal 2 20 17 2" xfId="2438"/>
    <cellStyle name="Normal 2 20 18" xfId="364"/>
    <cellStyle name="Normal 2 20 18 2" xfId="2439"/>
    <cellStyle name="Normal 2 20 19" xfId="365"/>
    <cellStyle name="Normal 2 20 19 2" xfId="2440"/>
    <cellStyle name="Normal 2 20 2" xfId="366"/>
    <cellStyle name="Normal 2 20 2 2" xfId="2441"/>
    <cellStyle name="Normal 2 20 20" xfId="367"/>
    <cellStyle name="Normal 2 20 20 2" xfId="2442"/>
    <cellStyle name="Normal 2 20 21" xfId="368"/>
    <cellStyle name="Normal 2 20 21 2" xfId="2443"/>
    <cellStyle name="Normal 2 20 22" xfId="369"/>
    <cellStyle name="Normal 2 20 22 2" xfId="2444"/>
    <cellStyle name="Normal 2 20 23" xfId="370"/>
    <cellStyle name="Normal 2 20 23 2" xfId="2445"/>
    <cellStyle name="Normal 2 20 24" xfId="2446"/>
    <cellStyle name="Normal 2 20 3" xfId="371"/>
    <cellStyle name="Normal 2 20 3 2" xfId="2447"/>
    <cellStyle name="Normal 2 20 4" xfId="372"/>
    <cellStyle name="Normal 2 20 4 2" xfId="2448"/>
    <cellStyle name="Normal 2 20 5" xfId="373"/>
    <cellStyle name="Normal 2 20 5 2" xfId="2449"/>
    <cellStyle name="Normal 2 20 6" xfId="374"/>
    <cellStyle name="Normal 2 20 6 2" xfId="2450"/>
    <cellStyle name="Normal 2 20 7" xfId="375"/>
    <cellStyle name="Normal 2 20 7 2" xfId="2451"/>
    <cellStyle name="Normal 2 20 8" xfId="376"/>
    <cellStyle name="Normal 2 20 8 2" xfId="2452"/>
    <cellStyle name="Normal 2 20 9" xfId="377"/>
    <cellStyle name="Normal 2 20 9 2" xfId="2453"/>
    <cellStyle name="Normal 2 21" xfId="378"/>
    <cellStyle name="Normal 2 21 10" xfId="379"/>
    <cellStyle name="Normal 2 21 10 2" xfId="2454"/>
    <cellStyle name="Normal 2 21 11" xfId="380"/>
    <cellStyle name="Normal 2 21 11 2" xfId="2455"/>
    <cellStyle name="Normal 2 21 12" xfId="381"/>
    <cellStyle name="Normal 2 21 12 2" xfId="2456"/>
    <cellStyle name="Normal 2 21 13" xfId="382"/>
    <cellStyle name="Normal 2 21 13 2" xfId="2457"/>
    <cellStyle name="Normal 2 21 14" xfId="383"/>
    <cellStyle name="Normal 2 21 14 2" xfId="2458"/>
    <cellStyle name="Normal 2 21 15" xfId="384"/>
    <cellStyle name="Normal 2 21 15 2" xfId="2459"/>
    <cellStyle name="Normal 2 21 16" xfId="385"/>
    <cellStyle name="Normal 2 21 16 2" xfId="2460"/>
    <cellStyle name="Normal 2 21 17" xfId="386"/>
    <cellStyle name="Normal 2 21 17 2" xfId="2461"/>
    <cellStyle name="Normal 2 21 18" xfId="387"/>
    <cellStyle name="Normal 2 21 18 2" xfId="2462"/>
    <cellStyle name="Normal 2 21 19" xfId="388"/>
    <cellStyle name="Normal 2 21 19 2" xfId="2463"/>
    <cellStyle name="Normal 2 21 2" xfId="389"/>
    <cellStyle name="Normal 2 21 2 2" xfId="2464"/>
    <cellStyle name="Normal 2 21 20" xfId="390"/>
    <cellStyle name="Normal 2 21 20 2" xfId="2465"/>
    <cellStyle name="Normal 2 21 21" xfId="391"/>
    <cellStyle name="Normal 2 21 21 2" xfId="2466"/>
    <cellStyle name="Normal 2 21 22" xfId="392"/>
    <cellStyle name="Normal 2 21 22 2" xfId="2467"/>
    <cellStyle name="Normal 2 21 23" xfId="393"/>
    <cellStyle name="Normal 2 21 23 2" xfId="2468"/>
    <cellStyle name="Normal 2 21 24" xfId="2469"/>
    <cellStyle name="Normal 2 21 3" xfId="394"/>
    <cellStyle name="Normal 2 21 3 2" xfId="2470"/>
    <cellStyle name="Normal 2 21 4" xfId="395"/>
    <cellStyle name="Normal 2 21 4 2" xfId="2471"/>
    <cellStyle name="Normal 2 21 5" xfId="396"/>
    <cellStyle name="Normal 2 21 5 2" xfId="2472"/>
    <cellStyle name="Normal 2 21 6" xfId="397"/>
    <cellStyle name="Normal 2 21 6 2" xfId="2473"/>
    <cellStyle name="Normal 2 21 7" xfId="398"/>
    <cellStyle name="Normal 2 21 7 2" xfId="2474"/>
    <cellStyle name="Normal 2 21 8" xfId="399"/>
    <cellStyle name="Normal 2 21 8 2" xfId="2475"/>
    <cellStyle name="Normal 2 21 9" xfId="400"/>
    <cellStyle name="Normal 2 21 9 2" xfId="2476"/>
    <cellStyle name="Normal 2 22" xfId="401"/>
    <cellStyle name="Normal 2 22 10" xfId="402"/>
    <cellStyle name="Normal 2 22 10 2" xfId="2477"/>
    <cellStyle name="Normal 2 22 11" xfId="403"/>
    <cellStyle name="Normal 2 22 11 2" xfId="2478"/>
    <cellStyle name="Normal 2 22 12" xfId="404"/>
    <cellStyle name="Normal 2 22 12 2" xfId="2479"/>
    <cellStyle name="Normal 2 22 13" xfId="405"/>
    <cellStyle name="Normal 2 22 13 2" xfId="2480"/>
    <cellStyle name="Normal 2 22 14" xfId="406"/>
    <cellStyle name="Normal 2 22 14 2" xfId="2481"/>
    <cellStyle name="Normal 2 22 15" xfId="407"/>
    <cellStyle name="Normal 2 22 15 2" xfId="2482"/>
    <cellStyle name="Normal 2 22 16" xfId="408"/>
    <cellStyle name="Normal 2 22 16 2" xfId="2483"/>
    <cellStyle name="Normal 2 22 17" xfId="409"/>
    <cellStyle name="Normal 2 22 17 2" xfId="2484"/>
    <cellStyle name="Normal 2 22 18" xfId="410"/>
    <cellStyle name="Normal 2 22 18 2" xfId="2485"/>
    <cellStyle name="Normal 2 22 19" xfId="411"/>
    <cellStyle name="Normal 2 22 19 2" xfId="2486"/>
    <cellStyle name="Normal 2 22 2" xfId="412"/>
    <cellStyle name="Normal 2 22 2 2" xfId="2487"/>
    <cellStyle name="Normal 2 22 20" xfId="413"/>
    <cellStyle name="Normal 2 22 20 2" xfId="2488"/>
    <cellStyle name="Normal 2 22 21" xfId="414"/>
    <cellStyle name="Normal 2 22 21 2" xfId="2489"/>
    <cellStyle name="Normal 2 22 22" xfId="415"/>
    <cellStyle name="Normal 2 22 22 2" xfId="2490"/>
    <cellStyle name="Normal 2 22 23" xfId="416"/>
    <cellStyle name="Normal 2 22 23 2" xfId="2491"/>
    <cellStyle name="Normal 2 22 24" xfId="2492"/>
    <cellStyle name="Normal 2 22 3" xfId="417"/>
    <cellStyle name="Normal 2 22 3 2" xfId="2493"/>
    <cellStyle name="Normal 2 22 4" xfId="418"/>
    <cellStyle name="Normal 2 22 4 2" xfId="2494"/>
    <cellStyle name="Normal 2 22 5" xfId="419"/>
    <cellStyle name="Normal 2 22 5 2" xfId="2495"/>
    <cellStyle name="Normal 2 22 6" xfId="420"/>
    <cellStyle name="Normal 2 22 6 2" xfId="2496"/>
    <cellStyle name="Normal 2 22 7" xfId="421"/>
    <cellStyle name="Normal 2 22 7 2" xfId="2497"/>
    <cellStyle name="Normal 2 22 8" xfId="422"/>
    <cellStyle name="Normal 2 22 8 2" xfId="2498"/>
    <cellStyle name="Normal 2 22 9" xfId="423"/>
    <cellStyle name="Normal 2 22 9 2" xfId="2499"/>
    <cellStyle name="Normal 2 23" xfId="424"/>
    <cellStyle name="Normal 2 23 10" xfId="425"/>
    <cellStyle name="Normal 2 23 10 2" xfId="2500"/>
    <cellStyle name="Normal 2 23 11" xfId="426"/>
    <cellStyle name="Normal 2 23 11 2" xfId="2501"/>
    <cellStyle name="Normal 2 23 12" xfId="427"/>
    <cellStyle name="Normal 2 23 12 2" xfId="2502"/>
    <cellStyle name="Normal 2 23 13" xfId="428"/>
    <cellStyle name="Normal 2 23 13 2" xfId="2503"/>
    <cellStyle name="Normal 2 23 14" xfId="429"/>
    <cellStyle name="Normal 2 23 14 2" xfId="2504"/>
    <cellStyle name="Normal 2 23 15" xfId="430"/>
    <cellStyle name="Normal 2 23 15 2" xfId="2505"/>
    <cellStyle name="Normal 2 23 16" xfId="431"/>
    <cellStyle name="Normal 2 23 16 2" xfId="2506"/>
    <cellStyle name="Normal 2 23 17" xfId="432"/>
    <cellStyle name="Normal 2 23 17 2" xfId="2507"/>
    <cellStyle name="Normal 2 23 18" xfId="433"/>
    <cellStyle name="Normal 2 23 18 2" xfId="2508"/>
    <cellStyle name="Normal 2 23 19" xfId="434"/>
    <cellStyle name="Normal 2 23 19 2" xfId="2509"/>
    <cellStyle name="Normal 2 23 2" xfId="435"/>
    <cellStyle name="Normal 2 23 2 2" xfId="2510"/>
    <cellStyle name="Normal 2 23 20" xfId="436"/>
    <cellStyle name="Normal 2 23 20 2" xfId="2511"/>
    <cellStyle name="Normal 2 23 21" xfId="437"/>
    <cellStyle name="Normal 2 23 21 2" xfId="2512"/>
    <cellStyle name="Normal 2 23 22" xfId="438"/>
    <cellStyle name="Normal 2 23 22 2" xfId="2513"/>
    <cellStyle name="Normal 2 23 23" xfId="439"/>
    <cellStyle name="Normal 2 23 23 2" xfId="2514"/>
    <cellStyle name="Normal 2 23 24" xfId="2515"/>
    <cellStyle name="Normal 2 23 3" xfId="440"/>
    <cellStyle name="Normal 2 23 3 2" xfId="2516"/>
    <cellStyle name="Normal 2 23 4" xfId="441"/>
    <cellStyle name="Normal 2 23 4 2" xfId="2517"/>
    <cellStyle name="Normal 2 23 5" xfId="442"/>
    <cellStyle name="Normal 2 23 5 2" xfId="2518"/>
    <cellStyle name="Normal 2 23 6" xfId="443"/>
    <cellStyle name="Normal 2 23 6 2" xfId="2519"/>
    <cellStyle name="Normal 2 23 7" xfId="444"/>
    <cellStyle name="Normal 2 23 7 2" xfId="2520"/>
    <cellStyle name="Normal 2 23 8" xfId="445"/>
    <cellStyle name="Normal 2 23 8 2" xfId="2521"/>
    <cellStyle name="Normal 2 23 9" xfId="446"/>
    <cellStyle name="Normal 2 23 9 2" xfId="2522"/>
    <cellStyle name="Normal 2 24" xfId="447"/>
    <cellStyle name="Normal 2 24 10" xfId="448"/>
    <cellStyle name="Normal 2 24 10 2" xfId="2523"/>
    <cellStyle name="Normal 2 24 11" xfId="449"/>
    <cellStyle name="Normal 2 24 11 2" xfId="2524"/>
    <cellStyle name="Normal 2 24 12" xfId="450"/>
    <cellStyle name="Normal 2 24 12 2" xfId="2525"/>
    <cellStyle name="Normal 2 24 13" xfId="451"/>
    <cellStyle name="Normal 2 24 13 2" xfId="2526"/>
    <cellStyle name="Normal 2 24 14" xfId="452"/>
    <cellStyle name="Normal 2 24 14 2" xfId="2527"/>
    <cellStyle name="Normal 2 24 15" xfId="453"/>
    <cellStyle name="Normal 2 24 15 2" xfId="2528"/>
    <cellStyle name="Normal 2 24 16" xfId="454"/>
    <cellStyle name="Normal 2 24 16 2" xfId="2529"/>
    <cellStyle name="Normal 2 24 17" xfId="455"/>
    <cellStyle name="Normal 2 24 17 2" xfId="2530"/>
    <cellStyle name="Normal 2 24 18" xfId="456"/>
    <cellStyle name="Normal 2 24 18 2" xfId="2531"/>
    <cellStyle name="Normal 2 24 19" xfId="457"/>
    <cellStyle name="Normal 2 24 19 2" xfId="2532"/>
    <cellStyle name="Normal 2 24 2" xfId="458"/>
    <cellStyle name="Normal 2 24 2 2" xfId="2533"/>
    <cellStyle name="Normal 2 24 20" xfId="459"/>
    <cellStyle name="Normal 2 24 20 2" xfId="2534"/>
    <cellStyle name="Normal 2 24 21" xfId="460"/>
    <cellStyle name="Normal 2 24 21 2" xfId="2535"/>
    <cellStyle name="Normal 2 24 22" xfId="461"/>
    <cellStyle name="Normal 2 24 22 2" xfId="2536"/>
    <cellStyle name="Normal 2 24 23" xfId="462"/>
    <cellStyle name="Normal 2 24 23 2" xfId="2537"/>
    <cellStyle name="Normal 2 24 24" xfId="2538"/>
    <cellStyle name="Normal 2 24 3" xfId="463"/>
    <cellStyle name="Normal 2 24 3 2" xfId="2539"/>
    <cellStyle name="Normal 2 24 4" xfId="464"/>
    <cellStyle name="Normal 2 24 4 2" xfId="2540"/>
    <cellStyle name="Normal 2 24 5" xfId="465"/>
    <cellStyle name="Normal 2 24 5 2" xfId="2541"/>
    <cellStyle name="Normal 2 24 6" xfId="466"/>
    <cellStyle name="Normal 2 24 6 2" xfId="2542"/>
    <cellStyle name="Normal 2 24 7" xfId="467"/>
    <cellStyle name="Normal 2 24 7 2" xfId="2543"/>
    <cellStyle name="Normal 2 24 8" xfId="468"/>
    <cellStyle name="Normal 2 24 8 2" xfId="2544"/>
    <cellStyle name="Normal 2 24 9" xfId="469"/>
    <cellStyle name="Normal 2 24 9 2" xfId="2545"/>
    <cellStyle name="Normal 2 25" xfId="470"/>
    <cellStyle name="Normal 2 25 10" xfId="471"/>
    <cellStyle name="Normal 2 25 10 2" xfId="2546"/>
    <cellStyle name="Normal 2 25 11" xfId="472"/>
    <cellStyle name="Normal 2 25 11 2" xfId="2547"/>
    <cellStyle name="Normal 2 25 12" xfId="473"/>
    <cellStyle name="Normal 2 25 12 2" xfId="2548"/>
    <cellStyle name="Normal 2 25 13" xfId="474"/>
    <cellStyle name="Normal 2 25 13 2" xfId="2549"/>
    <cellStyle name="Normal 2 25 14" xfId="475"/>
    <cellStyle name="Normal 2 25 14 2" xfId="2550"/>
    <cellStyle name="Normal 2 25 15" xfId="476"/>
    <cellStyle name="Normal 2 25 15 2" xfId="2551"/>
    <cellStyle name="Normal 2 25 16" xfId="477"/>
    <cellStyle name="Normal 2 25 16 2" xfId="2552"/>
    <cellStyle name="Normal 2 25 17" xfId="478"/>
    <cellStyle name="Normal 2 25 17 2" xfId="2553"/>
    <cellStyle name="Normal 2 25 18" xfId="479"/>
    <cellStyle name="Normal 2 25 18 2" xfId="2554"/>
    <cellStyle name="Normal 2 25 19" xfId="480"/>
    <cellStyle name="Normal 2 25 19 2" xfId="2555"/>
    <cellStyle name="Normal 2 25 2" xfId="481"/>
    <cellStyle name="Normal 2 25 2 2" xfId="2556"/>
    <cellStyle name="Normal 2 25 20" xfId="482"/>
    <cellStyle name="Normal 2 25 20 2" xfId="2557"/>
    <cellStyle name="Normal 2 25 21" xfId="483"/>
    <cellStyle name="Normal 2 25 21 2" xfId="2558"/>
    <cellStyle name="Normal 2 25 22" xfId="484"/>
    <cellStyle name="Normal 2 25 22 2" xfId="2559"/>
    <cellStyle name="Normal 2 25 23" xfId="485"/>
    <cellStyle name="Normal 2 25 23 2" xfId="2560"/>
    <cellStyle name="Normal 2 25 24" xfId="2561"/>
    <cellStyle name="Normal 2 25 3" xfId="486"/>
    <cellStyle name="Normal 2 25 3 2" xfId="2562"/>
    <cellStyle name="Normal 2 25 4" xfId="487"/>
    <cellStyle name="Normal 2 25 4 2" xfId="2563"/>
    <cellStyle name="Normal 2 25 5" xfId="488"/>
    <cellStyle name="Normal 2 25 5 2" xfId="2564"/>
    <cellStyle name="Normal 2 25 6" xfId="489"/>
    <cellStyle name="Normal 2 25 6 2" xfId="2565"/>
    <cellStyle name="Normal 2 25 7" xfId="490"/>
    <cellStyle name="Normal 2 25 7 2" xfId="2566"/>
    <cellStyle name="Normal 2 25 8" xfId="491"/>
    <cellStyle name="Normal 2 25 8 2" xfId="2567"/>
    <cellStyle name="Normal 2 25 9" xfId="492"/>
    <cellStyle name="Normal 2 25 9 2" xfId="2568"/>
    <cellStyle name="Normal 2 26" xfId="493"/>
    <cellStyle name="Normal 2 26 10" xfId="494"/>
    <cellStyle name="Normal 2 26 10 2" xfId="2569"/>
    <cellStyle name="Normal 2 26 11" xfId="495"/>
    <cellStyle name="Normal 2 26 11 2" xfId="2570"/>
    <cellStyle name="Normal 2 26 12" xfId="496"/>
    <cellStyle name="Normal 2 26 12 2" xfId="2571"/>
    <cellStyle name="Normal 2 26 13" xfId="497"/>
    <cellStyle name="Normal 2 26 13 2" xfId="2572"/>
    <cellStyle name="Normal 2 26 14" xfId="498"/>
    <cellStyle name="Normal 2 26 14 2" xfId="2573"/>
    <cellStyle name="Normal 2 26 15" xfId="499"/>
    <cellStyle name="Normal 2 26 15 2" xfId="2574"/>
    <cellStyle name="Normal 2 26 16" xfId="500"/>
    <cellStyle name="Normal 2 26 16 2" xfId="2575"/>
    <cellStyle name="Normal 2 26 17" xfId="501"/>
    <cellStyle name="Normal 2 26 17 2" xfId="2576"/>
    <cellStyle name="Normal 2 26 18" xfId="502"/>
    <cellStyle name="Normal 2 26 18 2" xfId="2577"/>
    <cellStyle name="Normal 2 26 19" xfId="503"/>
    <cellStyle name="Normal 2 26 19 2" xfId="2578"/>
    <cellStyle name="Normal 2 26 2" xfId="504"/>
    <cellStyle name="Normal 2 26 2 2" xfId="2579"/>
    <cellStyle name="Normal 2 26 20" xfId="505"/>
    <cellStyle name="Normal 2 26 20 2" xfId="2580"/>
    <cellStyle name="Normal 2 26 21" xfId="506"/>
    <cellStyle name="Normal 2 26 21 2" xfId="2581"/>
    <cellStyle name="Normal 2 26 22" xfId="507"/>
    <cellStyle name="Normal 2 26 22 2" xfId="2582"/>
    <cellStyle name="Normal 2 26 23" xfId="508"/>
    <cellStyle name="Normal 2 26 23 2" xfId="2583"/>
    <cellStyle name="Normal 2 26 24" xfId="2584"/>
    <cellStyle name="Normal 2 26 3" xfId="509"/>
    <cellStyle name="Normal 2 26 3 2" xfId="2585"/>
    <cellStyle name="Normal 2 26 4" xfId="510"/>
    <cellStyle name="Normal 2 26 4 2" xfId="2586"/>
    <cellStyle name="Normal 2 26 5" xfId="511"/>
    <cellStyle name="Normal 2 26 5 2" xfId="2587"/>
    <cellStyle name="Normal 2 26 6" xfId="512"/>
    <cellStyle name="Normal 2 26 6 2" xfId="2588"/>
    <cellStyle name="Normal 2 26 7" xfId="513"/>
    <cellStyle name="Normal 2 26 7 2" xfId="2589"/>
    <cellStyle name="Normal 2 26 8" xfId="514"/>
    <cellStyle name="Normal 2 26 8 2" xfId="2590"/>
    <cellStyle name="Normal 2 26 9" xfId="515"/>
    <cellStyle name="Normal 2 26 9 2" xfId="2591"/>
    <cellStyle name="Normal 2 27" xfId="516"/>
    <cellStyle name="Normal 2 27 10" xfId="517"/>
    <cellStyle name="Normal 2 27 10 2" xfId="2592"/>
    <cellStyle name="Normal 2 27 11" xfId="518"/>
    <cellStyle name="Normal 2 27 11 2" xfId="2593"/>
    <cellStyle name="Normal 2 27 12" xfId="519"/>
    <cellStyle name="Normal 2 27 12 2" xfId="2594"/>
    <cellStyle name="Normal 2 27 13" xfId="520"/>
    <cellStyle name="Normal 2 27 13 2" xfId="2595"/>
    <cellStyle name="Normal 2 27 14" xfId="521"/>
    <cellStyle name="Normal 2 27 14 2" xfId="2596"/>
    <cellStyle name="Normal 2 27 15" xfId="522"/>
    <cellStyle name="Normal 2 27 15 2" xfId="2597"/>
    <cellStyle name="Normal 2 27 16" xfId="523"/>
    <cellStyle name="Normal 2 27 16 2" xfId="2598"/>
    <cellStyle name="Normal 2 27 17" xfId="524"/>
    <cellStyle name="Normal 2 27 17 2" xfId="2599"/>
    <cellStyle name="Normal 2 27 18" xfId="525"/>
    <cellStyle name="Normal 2 27 18 2" xfId="2600"/>
    <cellStyle name="Normal 2 27 19" xfId="526"/>
    <cellStyle name="Normal 2 27 19 2" xfId="2601"/>
    <cellStyle name="Normal 2 27 2" xfId="527"/>
    <cellStyle name="Normal 2 27 2 2" xfId="2602"/>
    <cellStyle name="Normal 2 27 20" xfId="528"/>
    <cellStyle name="Normal 2 27 20 2" xfId="2603"/>
    <cellStyle name="Normal 2 27 21" xfId="529"/>
    <cellStyle name="Normal 2 27 21 2" xfId="2604"/>
    <cellStyle name="Normal 2 27 22" xfId="530"/>
    <cellStyle name="Normal 2 27 22 2" xfId="2605"/>
    <cellStyle name="Normal 2 27 23" xfId="531"/>
    <cellStyle name="Normal 2 27 23 2" xfId="2606"/>
    <cellStyle name="Normal 2 27 24" xfId="2607"/>
    <cellStyle name="Normal 2 27 3" xfId="532"/>
    <cellStyle name="Normal 2 27 3 2" xfId="2608"/>
    <cellStyle name="Normal 2 27 4" xfId="533"/>
    <cellStyle name="Normal 2 27 4 2" xfId="2609"/>
    <cellStyle name="Normal 2 27 5" xfId="534"/>
    <cellStyle name="Normal 2 27 5 2" xfId="2610"/>
    <cellStyle name="Normal 2 27 6" xfId="535"/>
    <cellStyle name="Normal 2 27 6 2" xfId="2611"/>
    <cellStyle name="Normal 2 27 7" xfId="536"/>
    <cellStyle name="Normal 2 27 7 2" xfId="2612"/>
    <cellStyle name="Normal 2 27 8" xfId="537"/>
    <cellStyle name="Normal 2 27 8 2" xfId="2613"/>
    <cellStyle name="Normal 2 27 9" xfId="538"/>
    <cellStyle name="Normal 2 27 9 2" xfId="2614"/>
    <cellStyle name="Normal 2 28" xfId="539"/>
    <cellStyle name="Normal 2 28 10" xfId="540"/>
    <cellStyle name="Normal 2 28 10 2" xfId="2615"/>
    <cellStyle name="Normal 2 28 11" xfId="541"/>
    <cellStyle name="Normal 2 28 11 2" xfId="2616"/>
    <cellStyle name="Normal 2 28 12" xfId="542"/>
    <cellStyle name="Normal 2 28 12 2" xfId="2617"/>
    <cellStyle name="Normal 2 28 13" xfId="543"/>
    <cellStyle name="Normal 2 28 13 2" xfId="2618"/>
    <cellStyle name="Normal 2 28 14" xfId="544"/>
    <cellStyle name="Normal 2 28 14 2" xfId="2619"/>
    <cellStyle name="Normal 2 28 15" xfId="545"/>
    <cellStyle name="Normal 2 28 15 2" xfId="2620"/>
    <cellStyle name="Normal 2 28 16" xfId="546"/>
    <cellStyle name="Normal 2 28 16 2" xfId="2621"/>
    <cellStyle name="Normal 2 28 17" xfId="547"/>
    <cellStyle name="Normal 2 28 17 2" xfId="2622"/>
    <cellStyle name="Normal 2 28 18" xfId="548"/>
    <cellStyle name="Normal 2 28 18 2" xfId="2623"/>
    <cellStyle name="Normal 2 28 19" xfId="549"/>
    <cellStyle name="Normal 2 28 19 2" xfId="2624"/>
    <cellStyle name="Normal 2 28 2" xfId="550"/>
    <cellStyle name="Normal 2 28 2 2" xfId="2625"/>
    <cellStyle name="Normal 2 28 20" xfId="551"/>
    <cellStyle name="Normal 2 28 20 2" xfId="2626"/>
    <cellStyle name="Normal 2 28 21" xfId="552"/>
    <cellStyle name="Normal 2 28 21 2" xfId="2627"/>
    <cellStyle name="Normal 2 28 22" xfId="553"/>
    <cellStyle name="Normal 2 28 22 2" xfId="2628"/>
    <cellStyle name="Normal 2 28 23" xfId="554"/>
    <cellStyle name="Normal 2 28 23 2" xfId="2629"/>
    <cellStyle name="Normal 2 28 24" xfId="2630"/>
    <cellStyle name="Normal 2 28 3" xfId="555"/>
    <cellStyle name="Normal 2 28 3 2" xfId="2631"/>
    <cellStyle name="Normal 2 28 4" xfId="556"/>
    <cellStyle name="Normal 2 28 4 2" xfId="2632"/>
    <cellStyle name="Normal 2 28 5" xfId="557"/>
    <cellStyle name="Normal 2 28 5 2" xfId="2633"/>
    <cellStyle name="Normal 2 28 6" xfId="558"/>
    <cellStyle name="Normal 2 28 6 2" xfId="2634"/>
    <cellStyle name="Normal 2 28 7" xfId="559"/>
    <cellStyle name="Normal 2 28 7 2" xfId="2635"/>
    <cellStyle name="Normal 2 28 8" xfId="560"/>
    <cellStyle name="Normal 2 28 8 2" xfId="2636"/>
    <cellStyle name="Normal 2 28 9" xfId="561"/>
    <cellStyle name="Normal 2 28 9 2" xfId="2637"/>
    <cellStyle name="Normal 2 29" xfId="562"/>
    <cellStyle name="Normal 2 29 10" xfId="563"/>
    <cellStyle name="Normal 2 29 10 2" xfId="2638"/>
    <cellStyle name="Normal 2 29 11" xfId="564"/>
    <cellStyle name="Normal 2 29 11 2" xfId="2639"/>
    <cellStyle name="Normal 2 29 12" xfId="565"/>
    <cellStyle name="Normal 2 29 12 2" xfId="2640"/>
    <cellStyle name="Normal 2 29 13" xfId="566"/>
    <cellStyle name="Normal 2 29 13 2" xfId="2641"/>
    <cellStyle name="Normal 2 29 14" xfId="567"/>
    <cellStyle name="Normal 2 29 14 2" xfId="2642"/>
    <cellStyle name="Normal 2 29 15" xfId="568"/>
    <cellStyle name="Normal 2 29 15 2" xfId="2643"/>
    <cellStyle name="Normal 2 29 16" xfId="569"/>
    <cellStyle name="Normal 2 29 16 2" xfId="2644"/>
    <cellStyle name="Normal 2 29 17" xfId="570"/>
    <cellStyle name="Normal 2 29 17 2" xfId="2645"/>
    <cellStyle name="Normal 2 29 18" xfId="571"/>
    <cellStyle name="Normal 2 29 18 2" xfId="2646"/>
    <cellStyle name="Normal 2 29 19" xfId="572"/>
    <cellStyle name="Normal 2 29 19 2" xfId="2647"/>
    <cellStyle name="Normal 2 29 2" xfId="573"/>
    <cellStyle name="Normal 2 29 2 2" xfId="2648"/>
    <cellStyle name="Normal 2 29 20" xfId="574"/>
    <cellStyle name="Normal 2 29 20 2" xfId="2649"/>
    <cellStyle name="Normal 2 29 21" xfId="575"/>
    <cellStyle name="Normal 2 29 21 2" xfId="2650"/>
    <cellStyle name="Normal 2 29 22" xfId="576"/>
    <cellStyle name="Normal 2 29 22 2" xfId="2651"/>
    <cellStyle name="Normal 2 29 23" xfId="577"/>
    <cellStyle name="Normal 2 29 23 2" xfId="2652"/>
    <cellStyle name="Normal 2 29 24" xfId="2653"/>
    <cellStyle name="Normal 2 29 3" xfId="578"/>
    <cellStyle name="Normal 2 29 3 2" xfId="2654"/>
    <cellStyle name="Normal 2 29 4" xfId="579"/>
    <cellStyle name="Normal 2 29 4 2" xfId="2655"/>
    <cellStyle name="Normal 2 29 5" xfId="580"/>
    <cellStyle name="Normal 2 29 5 2" xfId="2656"/>
    <cellStyle name="Normal 2 29 6" xfId="581"/>
    <cellStyle name="Normal 2 29 6 2" xfId="2657"/>
    <cellStyle name="Normal 2 29 7" xfId="582"/>
    <cellStyle name="Normal 2 29 7 2" xfId="2658"/>
    <cellStyle name="Normal 2 29 8" xfId="583"/>
    <cellStyle name="Normal 2 29 8 2" xfId="2659"/>
    <cellStyle name="Normal 2 29 9" xfId="584"/>
    <cellStyle name="Normal 2 29 9 2" xfId="2660"/>
    <cellStyle name="Normal 2 3" xfId="585"/>
    <cellStyle name="Normal 2 3 2" xfId="2661"/>
    <cellStyle name="Normal 2 30" xfId="586"/>
    <cellStyle name="Normal 2 30 10" xfId="587"/>
    <cellStyle name="Normal 2 30 10 2" xfId="2662"/>
    <cellStyle name="Normal 2 30 11" xfId="588"/>
    <cellStyle name="Normal 2 30 11 2" xfId="2663"/>
    <cellStyle name="Normal 2 30 12" xfId="589"/>
    <cellStyle name="Normal 2 30 12 2" xfId="2664"/>
    <cellStyle name="Normal 2 30 13" xfId="590"/>
    <cellStyle name="Normal 2 30 13 2" xfId="2665"/>
    <cellStyle name="Normal 2 30 14" xfId="591"/>
    <cellStyle name="Normal 2 30 14 2" xfId="2666"/>
    <cellStyle name="Normal 2 30 15" xfId="592"/>
    <cellStyle name="Normal 2 30 15 2" xfId="2667"/>
    <cellStyle name="Normal 2 30 16" xfId="593"/>
    <cellStyle name="Normal 2 30 16 2" xfId="2668"/>
    <cellStyle name="Normal 2 30 17" xfId="594"/>
    <cellStyle name="Normal 2 30 17 2" xfId="2669"/>
    <cellStyle name="Normal 2 30 18" xfId="595"/>
    <cellStyle name="Normal 2 30 18 2" xfId="2670"/>
    <cellStyle name="Normal 2 30 19" xfId="596"/>
    <cellStyle name="Normal 2 30 19 2" xfId="2671"/>
    <cellStyle name="Normal 2 30 2" xfId="597"/>
    <cellStyle name="Normal 2 30 2 2" xfId="2672"/>
    <cellStyle name="Normal 2 30 20" xfId="598"/>
    <cellStyle name="Normal 2 30 20 2" xfId="2673"/>
    <cellStyle name="Normal 2 30 21" xfId="599"/>
    <cellStyle name="Normal 2 30 21 2" xfId="2674"/>
    <cellStyle name="Normal 2 30 22" xfId="600"/>
    <cellStyle name="Normal 2 30 22 2" xfId="2675"/>
    <cellStyle name="Normal 2 30 23" xfId="601"/>
    <cellStyle name="Normal 2 30 23 2" xfId="2676"/>
    <cellStyle name="Normal 2 30 24" xfId="2677"/>
    <cellStyle name="Normal 2 30 3" xfId="602"/>
    <cellStyle name="Normal 2 30 3 2" xfId="2678"/>
    <cellStyle name="Normal 2 30 4" xfId="603"/>
    <cellStyle name="Normal 2 30 4 2" xfId="2679"/>
    <cellStyle name="Normal 2 30 5" xfId="604"/>
    <cellStyle name="Normal 2 30 5 2" xfId="2680"/>
    <cellStyle name="Normal 2 30 6" xfId="605"/>
    <cellStyle name="Normal 2 30 6 2" xfId="2681"/>
    <cellStyle name="Normal 2 30 7" xfId="606"/>
    <cellStyle name="Normal 2 30 7 2" xfId="2682"/>
    <cellStyle name="Normal 2 30 8" xfId="607"/>
    <cellStyle name="Normal 2 30 8 2" xfId="2683"/>
    <cellStyle name="Normal 2 30 9" xfId="608"/>
    <cellStyle name="Normal 2 30 9 2" xfId="2684"/>
    <cellStyle name="Normal 2 31" xfId="609"/>
    <cellStyle name="Normal 2 31 10" xfId="610"/>
    <cellStyle name="Normal 2 31 10 2" xfId="2685"/>
    <cellStyle name="Normal 2 31 11" xfId="611"/>
    <cellStyle name="Normal 2 31 11 2" xfId="2686"/>
    <cellStyle name="Normal 2 31 12" xfId="612"/>
    <cellStyle name="Normal 2 31 12 2" xfId="2687"/>
    <cellStyle name="Normal 2 31 13" xfId="613"/>
    <cellStyle name="Normal 2 31 13 2" xfId="2688"/>
    <cellStyle name="Normal 2 31 14" xfId="614"/>
    <cellStyle name="Normal 2 31 14 2" xfId="2689"/>
    <cellStyle name="Normal 2 31 15" xfId="615"/>
    <cellStyle name="Normal 2 31 15 2" xfId="2690"/>
    <cellStyle name="Normal 2 31 16" xfId="616"/>
    <cellStyle name="Normal 2 31 16 2" xfId="2691"/>
    <cellStyle name="Normal 2 31 17" xfId="617"/>
    <cellStyle name="Normal 2 31 17 2" xfId="2692"/>
    <cellStyle name="Normal 2 31 18" xfId="618"/>
    <cellStyle name="Normal 2 31 18 2" xfId="2693"/>
    <cellStyle name="Normal 2 31 19" xfId="619"/>
    <cellStyle name="Normal 2 31 19 2" xfId="2694"/>
    <cellStyle name="Normal 2 31 2" xfId="620"/>
    <cellStyle name="Normal 2 31 2 2" xfId="2695"/>
    <cellStyle name="Normal 2 31 20" xfId="621"/>
    <cellStyle name="Normal 2 31 20 2" xfId="2696"/>
    <cellStyle name="Normal 2 31 21" xfId="622"/>
    <cellStyle name="Normal 2 31 21 2" xfId="2697"/>
    <cellStyle name="Normal 2 31 22" xfId="623"/>
    <cellStyle name="Normal 2 31 22 2" xfId="2698"/>
    <cellStyle name="Normal 2 31 23" xfId="624"/>
    <cellStyle name="Normal 2 31 23 2" xfId="2699"/>
    <cellStyle name="Normal 2 31 24" xfId="2700"/>
    <cellStyle name="Normal 2 31 3" xfId="625"/>
    <cellStyle name="Normal 2 31 3 2" xfId="2701"/>
    <cellStyle name="Normal 2 31 4" xfId="626"/>
    <cellStyle name="Normal 2 31 4 2" xfId="2702"/>
    <cellStyle name="Normal 2 31 5" xfId="627"/>
    <cellStyle name="Normal 2 31 5 2" xfId="2703"/>
    <cellStyle name="Normal 2 31 6" xfId="628"/>
    <cellStyle name="Normal 2 31 6 2" xfId="2704"/>
    <cellStyle name="Normal 2 31 7" xfId="629"/>
    <cellStyle name="Normal 2 31 7 2" xfId="2705"/>
    <cellStyle name="Normal 2 31 8" xfId="630"/>
    <cellStyle name="Normal 2 31 8 2" xfId="2706"/>
    <cellStyle name="Normal 2 31 9" xfId="631"/>
    <cellStyle name="Normal 2 31 9 2" xfId="2707"/>
    <cellStyle name="Normal 2 32" xfId="632"/>
    <cellStyle name="Normal 2 32 10" xfId="633"/>
    <cellStyle name="Normal 2 32 10 2" xfId="2708"/>
    <cellStyle name="Normal 2 32 11" xfId="634"/>
    <cellStyle name="Normal 2 32 11 2" xfId="2709"/>
    <cellStyle name="Normal 2 32 12" xfId="635"/>
    <cellStyle name="Normal 2 32 12 2" xfId="2710"/>
    <cellStyle name="Normal 2 32 13" xfId="636"/>
    <cellStyle name="Normal 2 32 13 2" xfId="2711"/>
    <cellStyle name="Normal 2 32 14" xfId="637"/>
    <cellStyle name="Normal 2 32 14 2" xfId="2712"/>
    <cellStyle name="Normal 2 32 15" xfId="638"/>
    <cellStyle name="Normal 2 32 15 2" xfId="2713"/>
    <cellStyle name="Normal 2 32 16" xfId="639"/>
    <cellStyle name="Normal 2 32 16 2" xfId="2714"/>
    <cellStyle name="Normal 2 32 17" xfId="640"/>
    <cellStyle name="Normal 2 32 17 2" xfId="2715"/>
    <cellStyle name="Normal 2 32 18" xfId="641"/>
    <cellStyle name="Normal 2 32 18 2" xfId="2716"/>
    <cellStyle name="Normal 2 32 19" xfId="642"/>
    <cellStyle name="Normal 2 32 19 2" xfId="2717"/>
    <cellStyle name="Normal 2 32 2" xfId="643"/>
    <cellStyle name="Normal 2 32 2 2" xfId="2718"/>
    <cellStyle name="Normal 2 32 20" xfId="644"/>
    <cellStyle name="Normal 2 32 20 2" xfId="2719"/>
    <cellStyle name="Normal 2 32 21" xfId="645"/>
    <cellStyle name="Normal 2 32 21 2" xfId="2720"/>
    <cellStyle name="Normal 2 32 22" xfId="646"/>
    <cellStyle name="Normal 2 32 22 2" xfId="2721"/>
    <cellStyle name="Normal 2 32 23" xfId="647"/>
    <cellStyle name="Normal 2 32 23 2" xfId="2722"/>
    <cellStyle name="Normal 2 32 24" xfId="2723"/>
    <cellStyle name="Normal 2 32 3" xfId="648"/>
    <cellStyle name="Normal 2 32 3 2" xfId="2724"/>
    <cellStyle name="Normal 2 32 4" xfId="649"/>
    <cellStyle name="Normal 2 32 4 2" xfId="2725"/>
    <cellStyle name="Normal 2 32 5" xfId="650"/>
    <cellStyle name="Normal 2 32 5 2" xfId="2726"/>
    <cellStyle name="Normal 2 32 6" xfId="651"/>
    <cellStyle name="Normal 2 32 6 2" xfId="2727"/>
    <cellStyle name="Normal 2 32 7" xfId="652"/>
    <cellStyle name="Normal 2 32 7 2" xfId="2728"/>
    <cellStyle name="Normal 2 32 8" xfId="653"/>
    <cellStyle name="Normal 2 32 8 2" xfId="2729"/>
    <cellStyle name="Normal 2 32 9" xfId="654"/>
    <cellStyle name="Normal 2 32 9 2" xfId="2730"/>
    <cellStyle name="Normal 2 33" xfId="655"/>
    <cellStyle name="Normal 2 33 10" xfId="656"/>
    <cellStyle name="Normal 2 33 10 2" xfId="2731"/>
    <cellStyle name="Normal 2 33 11" xfId="657"/>
    <cellStyle name="Normal 2 33 11 2" xfId="2732"/>
    <cellStyle name="Normal 2 33 12" xfId="658"/>
    <cellStyle name="Normal 2 33 12 2" xfId="2733"/>
    <cellStyle name="Normal 2 33 13" xfId="659"/>
    <cellStyle name="Normal 2 33 13 2" xfId="2734"/>
    <cellStyle name="Normal 2 33 14" xfId="660"/>
    <cellStyle name="Normal 2 33 14 2" xfId="2735"/>
    <cellStyle name="Normal 2 33 15" xfId="661"/>
    <cellStyle name="Normal 2 33 15 2" xfId="2736"/>
    <cellStyle name="Normal 2 33 16" xfId="662"/>
    <cellStyle name="Normal 2 33 16 2" xfId="2737"/>
    <cellStyle name="Normal 2 33 17" xfId="663"/>
    <cellStyle name="Normal 2 33 17 2" xfId="2738"/>
    <cellStyle name="Normal 2 33 18" xfId="664"/>
    <cellStyle name="Normal 2 33 18 2" xfId="2739"/>
    <cellStyle name="Normal 2 33 19" xfId="665"/>
    <cellStyle name="Normal 2 33 19 2" xfId="2740"/>
    <cellStyle name="Normal 2 33 2" xfId="666"/>
    <cellStyle name="Normal 2 33 2 2" xfId="2741"/>
    <cellStyle name="Normal 2 33 20" xfId="667"/>
    <cellStyle name="Normal 2 33 20 2" xfId="2742"/>
    <cellStyle name="Normal 2 33 21" xfId="668"/>
    <cellStyle name="Normal 2 33 21 2" xfId="2743"/>
    <cellStyle name="Normal 2 33 22" xfId="669"/>
    <cellStyle name="Normal 2 33 22 2" xfId="2744"/>
    <cellStyle name="Normal 2 33 23" xfId="670"/>
    <cellStyle name="Normal 2 33 23 2" xfId="2745"/>
    <cellStyle name="Normal 2 33 24" xfId="2746"/>
    <cellStyle name="Normal 2 33 3" xfId="671"/>
    <cellStyle name="Normal 2 33 3 2" xfId="2747"/>
    <cellStyle name="Normal 2 33 4" xfId="672"/>
    <cellStyle name="Normal 2 33 4 2" xfId="2748"/>
    <cellStyle name="Normal 2 33 5" xfId="673"/>
    <cellStyle name="Normal 2 33 5 2" xfId="2749"/>
    <cellStyle name="Normal 2 33 6" xfId="674"/>
    <cellStyle name="Normal 2 33 6 2" xfId="2750"/>
    <cellStyle name="Normal 2 33 7" xfId="675"/>
    <cellStyle name="Normal 2 33 7 2" xfId="2751"/>
    <cellStyle name="Normal 2 33 8" xfId="676"/>
    <cellStyle name="Normal 2 33 8 2" xfId="2752"/>
    <cellStyle name="Normal 2 33 9" xfId="677"/>
    <cellStyle name="Normal 2 33 9 2" xfId="2753"/>
    <cellStyle name="Normal 2 34" xfId="678"/>
    <cellStyle name="Normal 2 34 10" xfId="679"/>
    <cellStyle name="Normal 2 34 10 2" xfId="2754"/>
    <cellStyle name="Normal 2 34 11" xfId="680"/>
    <cellStyle name="Normal 2 34 11 2" xfId="2755"/>
    <cellStyle name="Normal 2 34 12" xfId="681"/>
    <cellStyle name="Normal 2 34 12 2" xfId="2756"/>
    <cellStyle name="Normal 2 34 13" xfId="682"/>
    <cellStyle name="Normal 2 34 13 2" xfId="2757"/>
    <cellStyle name="Normal 2 34 14" xfId="683"/>
    <cellStyle name="Normal 2 34 14 2" xfId="2758"/>
    <cellStyle name="Normal 2 34 15" xfId="684"/>
    <cellStyle name="Normal 2 34 15 2" xfId="2759"/>
    <cellStyle name="Normal 2 34 16" xfId="685"/>
    <cellStyle name="Normal 2 34 16 2" xfId="2760"/>
    <cellStyle name="Normal 2 34 17" xfId="686"/>
    <cellStyle name="Normal 2 34 17 2" xfId="2761"/>
    <cellStyle name="Normal 2 34 18" xfId="687"/>
    <cellStyle name="Normal 2 34 18 2" xfId="2762"/>
    <cellStyle name="Normal 2 34 19" xfId="688"/>
    <cellStyle name="Normal 2 34 19 2" xfId="2763"/>
    <cellStyle name="Normal 2 34 2" xfId="689"/>
    <cellStyle name="Normal 2 34 2 2" xfId="2764"/>
    <cellStyle name="Normal 2 34 20" xfId="690"/>
    <cellStyle name="Normal 2 34 20 2" xfId="2765"/>
    <cellStyle name="Normal 2 34 21" xfId="691"/>
    <cellStyle name="Normal 2 34 21 2" xfId="2766"/>
    <cellStyle name="Normal 2 34 22" xfId="692"/>
    <cellStyle name="Normal 2 34 22 2" xfId="2767"/>
    <cellStyle name="Normal 2 34 23" xfId="693"/>
    <cellStyle name="Normal 2 34 23 2" xfId="2768"/>
    <cellStyle name="Normal 2 34 24" xfId="2769"/>
    <cellStyle name="Normal 2 34 3" xfId="694"/>
    <cellStyle name="Normal 2 34 3 2" xfId="2770"/>
    <cellStyle name="Normal 2 34 4" xfId="695"/>
    <cellStyle name="Normal 2 34 4 2" xfId="2771"/>
    <cellStyle name="Normal 2 34 5" xfId="696"/>
    <cellStyle name="Normal 2 34 5 2" xfId="2772"/>
    <cellStyle name="Normal 2 34 6" xfId="697"/>
    <cellStyle name="Normal 2 34 6 2" xfId="2773"/>
    <cellStyle name="Normal 2 34 7" xfId="698"/>
    <cellStyle name="Normal 2 34 7 2" xfId="2774"/>
    <cellStyle name="Normal 2 34 8" xfId="699"/>
    <cellStyle name="Normal 2 34 8 2" xfId="2775"/>
    <cellStyle name="Normal 2 34 9" xfId="700"/>
    <cellStyle name="Normal 2 34 9 2" xfId="2776"/>
    <cellStyle name="Normal 2 35" xfId="701"/>
    <cellStyle name="Normal 2 35 10" xfId="702"/>
    <cellStyle name="Normal 2 35 10 2" xfId="2777"/>
    <cellStyle name="Normal 2 35 11" xfId="703"/>
    <cellStyle name="Normal 2 35 11 2" xfId="2778"/>
    <cellStyle name="Normal 2 35 12" xfId="704"/>
    <cellStyle name="Normal 2 35 12 2" xfId="2779"/>
    <cellStyle name="Normal 2 35 13" xfId="705"/>
    <cellStyle name="Normal 2 35 13 2" xfId="2780"/>
    <cellStyle name="Normal 2 35 14" xfId="706"/>
    <cellStyle name="Normal 2 35 14 2" xfId="2781"/>
    <cellStyle name="Normal 2 35 15" xfId="707"/>
    <cellStyle name="Normal 2 35 15 2" xfId="2782"/>
    <cellStyle name="Normal 2 35 16" xfId="708"/>
    <cellStyle name="Normal 2 35 16 2" xfId="2783"/>
    <cellStyle name="Normal 2 35 17" xfId="709"/>
    <cellStyle name="Normal 2 35 17 2" xfId="2784"/>
    <cellStyle name="Normal 2 35 18" xfId="710"/>
    <cellStyle name="Normal 2 35 18 2" xfId="2785"/>
    <cellStyle name="Normal 2 35 19" xfId="711"/>
    <cellStyle name="Normal 2 35 19 2" xfId="2786"/>
    <cellStyle name="Normal 2 35 2" xfId="712"/>
    <cellStyle name="Normal 2 35 2 2" xfId="2787"/>
    <cellStyle name="Normal 2 35 20" xfId="713"/>
    <cellStyle name="Normal 2 35 20 2" xfId="2788"/>
    <cellStyle name="Normal 2 35 21" xfId="714"/>
    <cellStyle name="Normal 2 35 21 2" xfId="2789"/>
    <cellStyle name="Normal 2 35 22" xfId="715"/>
    <cellStyle name="Normal 2 35 22 2" xfId="2790"/>
    <cellStyle name="Normal 2 35 23" xfId="716"/>
    <cellStyle name="Normal 2 35 23 2" xfId="2791"/>
    <cellStyle name="Normal 2 35 24" xfId="2792"/>
    <cellStyle name="Normal 2 35 3" xfId="717"/>
    <cellStyle name="Normal 2 35 3 2" xfId="2793"/>
    <cellStyle name="Normal 2 35 4" xfId="718"/>
    <cellStyle name="Normal 2 35 4 2" xfId="2794"/>
    <cellStyle name="Normal 2 35 5" xfId="719"/>
    <cellStyle name="Normal 2 35 5 2" xfId="2795"/>
    <cellStyle name="Normal 2 35 6" xfId="720"/>
    <cellStyle name="Normal 2 35 6 2" xfId="2796"/>
    <cellStyle name="Normal 2 35 7" xfId="721"/>
    <cellStyle name="Normal 2 35 7 2" xfId="2797"/>
    <cellStyle name="Normal 2 35 8" xfId="722"/>
    <cellStyle name="Normal 2 35 8 2" xfId="2798"/>
    <cellStyle name="Normal 2 35 9" xfId="723"/>
    <cellStyle name="Normal 2 35 9 2" xfId="2799"/>
    <cellStyle name="Normal 2 36" xfId="724"/>
    <cellStyle name="Normal 2 36 10" xfId="725"/>
    <cellStyle name="Normal 2 36 10 2" xfId="2800"/>
    <cellStyle name="Normal 2 36 11" xfId="726"/>
    <cellStyle name="Normal 2 36 11 2" xfId="2801"/>
    <cellStyle name="Normal 2 36 12" xfId="727"/>
    <cellStyle name="Normal 2 36 12 2" xfId="2802"/>
    <cellStyle name="Normal 2 36 13" xfId="728"/>
    <cellStyle name="Normal 2 36 13 2" xfId="2803"/>
    <cellStyle name="Normal 2 36 14" xfId="729"/>
    <cellStyle name="Normal 2 36 14 2" xfId="2804"/>
    <cellStyle name="Normal 2 36 15" xfId="730"/>
    <cellStyle name="Normal 2 36 15 2" xfId="2805"/>
    <cellStyle name="Normal 2 36 16" xfId="731"/>
    <cellStyle name="Normal 2 36 16 2" xfId="2806"/>
    <cellStyle name="Normal 2 36 17" xfId="732"/>
    <cellStyle name="Normal 2 36 17 2" xfId="2807"/>
    <cellStyle name="Normal 2 36 18" xfId="733"/>
    <cellStyle name="Normal 2 36 18 2" xfId="2808"/>
    <cellStyle name="Normal 2 36 19" xfId="734"/>
    <cellStyle name="Normal 2 36 19 2" xfId="2809"/>
    <cellStyle name="Normal 2 36 2" xfId="735"/>
    <cellStyle name="Normal 2 36 2 2" xfId="2810"/>
    <cellStyle name="Normal 2 36 20" xfId="736"/>
    <cellStyle name="Normal 2 36 20 2" xfId="2811"/>
    <cellStyle name="Normal 2 36 21" xfId="737"/>
    <cellStyle name="Normal 2 36 21 2" xfId="2812"/>
    <cellStyle name="Normal 2 36 22" xfId="738"/>
    <cellStyle name="Normal 2 36 22 2" xfId="2813"/>
    <cellStyle name="Normal 2 36 23" xfId="739"/>
    <cellStyle name="Normal 2 36 23 2" xfId="2814"/>
    <cellStyle name="Normal 2 36 24" xfId="2815"/>
    <cellStyle name="Normal 2 36 3" xfId="740"/>
    <cellStyle name="Normal 2 36 3 2" xfId="2816"/>
    <cellStyle name="Normal 2 36 4" xfId="741"/>
    <cellStyle name="Normal 2 36 4 2" xfId="2817"/>
    <cellStyle name="Normal 2 36 5" xfId="742"/>
    <cellStyle name="Normal 2 36 5 2" xfId="2818"/>
    <cellStyle name="Normal 2 36 6" xfId="743"/>
    <cellStyle name="Normal 2 36 6 2" xfId="2819"/>
    <cellStyle name="Normal 2 36 7" xfId="744"/>
    <cellStyle name="Normal 2 36 7 2" xfId="2820"/>
    <cellStyle name="Normal 2 36 8" xfId="745"/>
    <cellStyle name="Normal 2 36 8 2" xfId="2821"/>
    <cellStyle name="Normal 2 36 9" xfId="746"/>
    <cellStyle name="Normal 2 36 9 2" xfId="2822"/>
    <cellStyle name="Normal 2 37" xfId="747"/>
    <cellStyle name="Normal 2 37 10" xfId="748"/>
    <cellStyle name="Normal 2 37 10 2" xfId="2823"/>
    <cellStyle name="Normal 2 37 11" xfId="749"/>
    <cellStyle name="Normal 2 37 11 2" xfId="2824"/>
    <cellStyle name="Normal 2 37 12" xfId="750"/>
    <cellStyle name="Normal 2 37 12 2" xfId="2825"/>
    <cellStyle name="Normal 2 37 13" xfId="751"/>
    <cellStyle name="Normal 2 37 13 2" xfId="2826"/>
    <cellStyle name="Normal 2 37 14" xfId="752"/>
    <cellStyle name="Normal 2 37 14 2" xfId="2827"/>
    <cellStyle name="Normal 2 37 15" xfId="753"/>
    <cellStyle name="Normal 2 37 15 2" xfId="2828"/>
    <cellStyle name="Normal 2 37 16" xfId="754"/>
    <cellStyle name="Normal 2 37 16 2" xfId="2829"/>
    <cellStyle name="Normal 2 37 17" xfId="755"/>
    <cellStyle name="Normal 2 37 17 2" xfId="2830"/>
    <cellStyle name="Normal 2 37 18" xfId="756"/>
    <cellStyle name="Normal 2 37 18 2" xfId="2831"/>
    <cellStyle name="Normal 2 37 19" xfId="757"/>
    <cellStyle name="Normal 2 37 19 2" xfId="2832"/>
    <cellStyle name="Normal 2 37 2" xfId="758"/>
    <cellStyle name="Normal 2 37 2 2" xfId="2833"/>
    <cellStyle name="Normal 2 37 20" xfId="759"/>
    <cellStyle name="Normal 2 37 20 2" xfId="2834"/>
    <cellStyle name="Normal 2 37 21" xfId="760"/>
    <cellStyle name="Normal 2 37 21 2" xfId="2835"/>
    <cellStyle name="Normal 2 37 22" xfId="761"/>
    <cellStyle name="Normal 2 37 22 2" xfId="2836"/>
    <cellStyle name="Normal 2 37 23" xfId="762"/>
    <cellStyle name="Normal 2 37 23 2" xfId="2837"/>
    <cellStyle name="Normal 2 37 24" xfId="2838"/>
    <cellStyle name="Normal 2 37 3" xfId="763"/>
    <cellStyle name="Normal 2 37 3 2" xfId="2839"/>
    <cellStyle name="Normal 2 37 4" xfId="764"/>
    <cellStyle name="Normal 2 37 4 2" xfId="2840"/>
    <cellStyle name="Normal 2 37 5" xfId="765"/>
    <cellStyle name="Normal 2 37 5 2" xfId="2841"/>
    <cellStyle name="Normal 2 37 6" xfId="766"/>
    <cellStyle name="Normal 2 37 6 2" xfId="2842"/>
    <cellStyle name="Normal 2 37 7" xfId="767"/>
    <cellStyle name="Normal 2 37 7 2" xfId="2843"/>
    <cellStyle name="Normal 2 37 8" xfId="768"/>
    <cellStyle name="Normal 2 37 8 2" xfId="2844"/>
    <cellStyle name="Normal 2 37 9" xfId="769"/>
    <cellStyle name="Normal 2 37 9 2" xfId="2845"/>
    <cellStyle name="Normal 2 38" xfId="770"/>
    <cellStyle name="Normal 2 38 10" xfId="771"/>
    <cellStyle name="Normal 2 38 10 2" xfId="2846"/>
    <cellStyle name="Normal 2 38 11" xfId="772"/>
    <cellStyle name="Normal 2 38 11 2" xfId="2847"/>
    <cellStyle name="Normal 2 38 12" xfId="773"/>
    <cellStyle name="Normal 2 38 12 2" xfId="2848"/>
    <cellStyle name="Normal 2 38 13" xfId="774"/>
    <cellStyle name="Normal 2 38 13 2" xfId="2849"/>
    <cellStyle name="Normal 2 38 14" xfId="775"/>
    <cellStyle name="Normal 2 38 14 2" xfId="2850"/>
    <cellStyle name="Normal 2 38 15" xfId="776"/>
    <cellStyle name="Normal 2 38 15 2" xfId="2851"/>
    <cellStyle name="Normal 2 38 16" xfId="777"/>
    <cellStyle name="Normal 2 38 16 2" xfId="2852"/>
    <cellStyle name="Normal 2 38 17" xfId="778"/>
    <cellStyle name="Normal 2 38 17 2" xfId="2853"/>
    <cellStyle name="Normal 2 38 18" xfId="779"/>
    <cellStyle name="Normal 2 38 18 2" xfId="2854"/>
    <cellStyle name="Normal 2 38 19" xfId="780"/>
    <cellStyle name="Normal 2 38 19 2" xfId="2855"/>
    <cellStyle name="Normal 2 38 2" xfId="781"/>
    <cellStyle name="Normal 2 38 2 2" xfId="2856"/>
    <cellStyle name="Normal 2 38 20" xfId="782"/>
    <cellStyle name="Normal 2 38 20 2" xfId="2857"/>
    <cellStyle name="Normal 2 38 21" xfId="783"/>
    <cellStyle name="Normal 2 38 21 2" xfId="2858"/>
    <cellStyle name="Normal 2 38 22" xfId="784"/>
    <cellStyle name="Normal 2 38 22 2" xfId="2859"/>
    <cellStyle name="Normal 2 38 23" xfId="785"/>
    <cellStyle name="Normal 2 38 23 2" xfId="2860"/>
    <cellStyle name="Normal 2 38 24" xfId="2861"/>
    <cellStyle name="Normal 2 38 3" xfId="786"/>
    <cellStyle name="Normal 2 38 3 2" xfId="2862"/>
    <cellStyle name="Normal 2 38 4" xfId="787"/>
    <cellStyle name="Normal 2 38 4 2" xfId="2863"/>
    <cellStyle name="Normal 2 38 5" xfId="788"/>
    <cellStyle name="Normal 2 38 5 2" xfId="2864"/>
    <cellStyle name="Normal 2 38 6" xfId="789"/>
    <cellStyle name="Normal 2 38 6 2" xfId="2865"/>
    <cellStyle name="Normal 2 38 7" xfId="790"/>
    <cellStyle name="Normal 2 38 7 2" xfId="2866"/>
    <cellStyle name="Normal 2 38 8" xfId="791"/>
    <cellStyle name="Normal 2 38 8 2" xfId="2867"/>
    <cellStyle name="Normal 2 38 9" xfId="792"/>
    <cellStyle name="Normal 2 38 9 2" xfId="2868"/>
    <cellStyle name="Normal 2 39" xfId="793"/>
    <cellStyle name="Normal 2 39 10" xfId="794"/>
    <cellStyle name="Normal 2 39 10 2" xfId="2869"/>
    <cellStyle name="Normal 2 39 11" xfId="795"/>
    <cellStyle name="Normal 2 39 11 2" xfId="2870"/>
    <cellStyle name="Normal 2 39 12" xfId="796"/>
    <cellStyle name="Normal 2 39 12 2" xfId="2871"/>
    <cellStyle name="Normal 2 39 13" xfId="797"/>
    <cellStyle name="Normal 2 39 13 2" xfId="2872"/>
    <cellStyle name="Normal 2 39 14" xfId="798"/>
    <cellStyle name="Normal 2 39 14 2" xfId="2873"/>
    <cellStyle name="Normal 2 39 15" xfId="799"/>
    <cellStyle name="Normal 2 39 15 2" xfId="2874"/>
    <cellStyle name="Normal 2 39 16" xfId="800"/>
    <cellStyle name="Normal 2 39 16 2" xfId="2875"/>
    <cellStyle name="Normal 2 39 17" xfId="801"/>
    <cellStyle name="Normal 2 39 17 2" xfId="2876"/>
    <cellStyle name="Normal 2 39 18" xfId="802"/>
    <cellStyle name="Normal 2 39 18 2" xfId="2877"/>
    <cellStyle name="Normal 2 39 19" xfId="803"/>
    <cellStyle name="Normal 2 39 19 2" xfId="2878"/>
    <cellStyle name="Normal 2 39 2" xfId="804"/>
    <cellStyle name="Normal 2 39 2 2" xfId="2879"/>
    <cellStyle name="Normal 2 39 20" xfId="805"/>
    <cellStyle name="Normal 2 39 20 2" xfId="2880"/>
    <cellStyle name="Normal 2 39 21" xfId="806"/>
    <cellStyle name="Normal 2 39 21 2" xfId="2881"/>
    <cellStyle name="Normal 2 39 22" xfId="807"/>
    <cellStyle name="Normal 2 39 22 2" xfId="2882"/>
    <cellStyle name="Normal 2 39 23" xfId="808"/>
    <cellStyle name="Normal 2 39 23 2" xfId="2883"/>
    <cellStyle name="Normal 2 39 24" xfId="2884"/>
    <cellStyle name="Normal 2 39 3" xfId="809"/>
    <cellStyle name="Normal 2 39 3 2" xfId="2885"/>
    <cellStyle name="Normal 2 39 4" xfId="810"/>
    <cellStyle name="Normal 2 39 4 2" xfId="2886"/>
    <cellStyle name="Normal 2 39 5" xfId="811"/>
    <cellStyle name="Normal 2 39 5 2" xfId="2887"/>
    <cellStyle name="Normal 2 39 6" xfId="812"/>
    <cellStyle name="Normal 2 39 6 2" xfId="2888"/>
    <cellStyle name="Normal 2 39 7" xfId="813"/>
    <cellStyle name="Normal 2 39 7 2" xfId="2889"/>
    <cellStyle name="Normal 2 39 8" xfId="814"/>
    <cellStyle name="Normal 2 39 8 2" xfId="2890"/>
    <cellStyle name="Normal 2 39 9" xfId="815"/>
    <cellStyle name="Normal 2 39 9 2" xfId="2891"/>
    <cellStyle name="Normal 2 4" xfId="816"/>
    <cellStyle name="Normal 2 4 2" xfId="817"/>
    <cellStyle name="Normal 2 4 2 2" xfId="2892"/>
    <cellStyle name="Normal 2 40" xfId="818"/>
    <cellStyle name="Normal 2 40 2" xfId="2893"/>
    <cellStyle name="Normal 2 41" xfId="819"/>
    <cellStyle name="Normal 2 41 2" xfId="2894"/>
    <cellStyle name="Normal 2 42" xfId="820"/>
    <cellStyle name="Normal 2 42 2" xfId="2895"/>
    <cellStyle name="Normal 2 43" xfId="821"/>
    <cellStyle name="Normal 2 43 2" xfId="2896"/>
    <cellStyle name="Normal 2 44" xfId="822"/>
    <cellStyle name="Normal 2 44 2" xfId="2897"/>
    <cellStyle name="Normal 2 45" xfId="823"/>
    <cellStyle name="Normal 2 45 2" xfId="2898"/>
    <cellStyle name="Normal 2 46" xfId="824"/>
    <cellStyle name="Normal 2 46 2" xfId="2899"/>
    <cellStyle name="Normal 2 47" xfId="825"/>
    <cellStyle name="Normal 2 47 2" xfId="2900"/>
    <cellStyle name="Normal 2 48" xfId="826"/>
    <cellStyle name="Normal 2 48 2" xfId="2901"/>
    <cellStyle name="Normal 2 49" xfId="827"/>
    <cellStyle name="Normal 2 49 2" xfId="2902"/>
    <cellStyle name="Normal 2 5" xfId="828"/>
    <cellStyle name="Normal 2 5 10" xfId="829"/>
    <cellStyle name="Normal 2 5 10 2" xfId="2903"/>
    <cellStyle name="Normal 2 5 11" xfId="830"/>
    <cellStyle name="Normal 2 5 11 2" xfId="2904"/>
    <cellStyle name="Normal 2 5 12" xfId="831"/>
    <cellStyle name="Normal 2 5 12 2" xfId="2905"/>
    <cellStyle name="Normal 2 5 13" xfId="832"/>
    <cellStyle name="Normal 2 5 13 2" xfId="2906"/>
    <cellStyle name="Normal 2 5 14" xfId="833"/>
    <cellStyle name="Normal 2 5 14 2" xfId="2907"/>
    <cellStyle name="Normal 2 5 15" xfId="834"/>
    <cellStyle name="Normal 2 5 15 2" xfId="2908"/>
    <cellStyle name="Normal 2 5 16" xfId="835"/>
    <cellStyle name="Normal 2 5 16 2" xfId="2909"/>
    <cellStyle name="Normal 2 5 17" xfId="836"/>
    <cellStyle name="Normal 2 5 17 2" xfId="2910"/>
    <cellStyle name="Normal 2 5 18" xfId="837"/>
    <cellStyle name="Normal 2 5 18 2" xfId="2911"/>
    <cellStyle name="Normal 2 5 19" xfId="838"/>
    <cellStyle name="Normal 2 5 19 2" xfId="2912"/>
    <cellStyle name="Normal 2 5 2" xfId="839"/>
    <cellStyle name="Normal 2 5 2 10" xfId="840"/>
    <cellStyle name="Normal 2 5 2 10 2" xfId="2913"/>
    <cellStyle name="Normal 2 5 2 11" xfId="841"/>
    <cellStyle name="Normal 2 5 2 11 2" xfId="2914"/>
    <cellStyle name="Normal 2 5 2 12" xfId="842"/>
    <cellStyle name="Normal 2 5 2 12 2" xfId="2915"/>
    <cellStyle name="Normal 2 5 2 13" xfId="843"/>
    <cellStyle name="Normal 2 5 2 13 2" xfId="2916"/>
    <cellStyle name="Normal 2 5 2 14" xfId="844"/>
    <cellStyle name="Normal 2 5 2 14 2" xfId="2917"/>
    <cellStyle name="Normal 2 5 2 15" xfId="845"/>
    <cellStyle name="Normal 2 5 2 15 2" xfId="2918"/>
    <cellStyle name="Normal 2 5 2 16" xfId="846"/>
    <cellStyle name="Normal 2 5 2 16 2" xfId="2919"/>
    <cellStyle name="Normal 2 5 2 17" xfId="847"/>
    <cellStyle name="Normal 2 5 2 17 2" xfId="2920"/>
    <cellStyle name="Normal 2 5 2 18" xfId="848"/>
    <cellStyle name="Normal 2 5 2 18 2" xfId="2921"/>
    <cellStyle name="Normal 2 5 2 19" xfId="849"/>
    <cellStyle name="Normal 2 5 2 19 2" xfId="2922"/>
    <cellStyle name="Normal 2 5 2 2" xfId="850"/>
    <cellStyle name="Normal 2 5 2 2 10" xfId="851"/>
    <cellStyle name="Normal 2 5 2 2 10 2" xfId="2923"/>
    <cellStyle name="Normal 2 5 2 2 11" xfId="852"/>
    <cellStyle name="Normal 2 5 2 2 11 2" xfId="2924"/>
    <cellStyle name="Normal 2 5 2 2 12" xfId="853"/>
    <cellStyle name="Normal 2 5 2 2 12 2" xfId="2925"/>
    <cellStyle name="Normal 2 5 2 2 13" xfId="854"/>
    <cellStyle name="Normal 2 5 2 2 13 2" xfId="2926"/>
    <cellStyle name="Normal 2 5 2 2 14" xfId="855"/>
    <cellStyle name="Normal 2 5 2 2 14 2" xfId="2927"/>
    <cellStyle name="Normal 2 5 2 2 15" xfId="856"/>
    <cellStyle name="Normal 2 5 2 2 15 2" xfId="2928"/>
    <cellStyle name="Normal 2 5 2 2 16" xfId="857"/>
    <cellStyle name="Normal 2 5 2 2 16 2" xfId="2929"/>
    <cellStyle name="Normal 2 5 2 2 17" xfId="858"/>
    <cellStyle name="Normal 2 5 2 2 17 2" xfId="2930"/>
    <cellStyle name="Normal 2 5 2 2 18" xfId="859"/>
    <cellStyle name="Normal 2 5 2 2 18 2" xfId="2931"/>
    <cellStyle name="Normal 2 5 2 2 19" xfId="860"/>
    <cellStyle name="Normal 2 5 2 2 19 2" xfId="2932"/>
    <cellStyle name="Normal 2 5 2 2 2" xfId="861"/>
    <cellStyle name="Normal 2 5 2 2 2 2" xfId="2933"/>
    <cellStyle name="Normal 2 5 2 2 20" xfId="862"/>
    <cellStyle name="Normal 2 5 2 2 20 2" xfId="2934"/>
    <cellStyle name="Normal 2 5 2 2 21" xfId="863"/>
    <cellStyle name="Normal 2 5 2 2 21 2" xfId="2935"/>
    <cellStyle name="Normal 2 5 2 2 22" xfId="864"/>
    <cellStyle name="Normal 2 5 2 2 22 2" xfId="2936"/>
    <cellStyle name="Normal 2 5 2 2 23" xfId="865"/>
    <cellStyle name="Normal 2 5 2 2 23 2" xfId="2937"/>
    <cellStyle name="Normal 2 5 2 2 24" xfId="866"/>
    <cellStyle name="Normal 2 5 2 2 24 2" xfId="2938"/>
    <cellStyle name="Normal 2 5 2 2 25" xfId="867"/>
    <cellStyle name="Normal 2 5 2 2 25 2" xfId="2939"/>
    <cellStyle name="Normal 2 5 2 2 26" xfId="868"/>
    <cellStyle name="Normal 2 5 2 2 26 2" xfId="2940"/>
    <cellStyle name="Normal 2 5 2 2 27" xfId="869"/>
    <cellStyle name="Normal 2 5 2 2 27 2" xfId="2941"/>
    <cellStyle name="Normal 2 5 2 2 28" xfId="870"/>
    <cellStyle name="Normal 2 5 2 2 28 2" xfId="2942"/>
    <cellStyle name="Normal 2 5 2 2 29" xfId="871"/>
    <cellStyle name="Normal 2 5 2 2 29 2" xfId="2943"/>
    <cellStyle name="Normal 2 5 2 2 3" xfId="872"/>
    <cellStyle name="Normal 2 5 2 2 3 2" xfId="2944"/>
    <cellStyle name="Normal 2 5 2 2 30" xfId="873"/>
    <cellStyle name="Normal 2 5 2 2 30 2" xfId="2945"/>
    <cellStyle name="Normal 2 5 2 2 31" xfId="874"/>
    <cellStyle name="Normal 2 5 2 2 31 2" xfId="2946"/>
    <cellStyle name="Normal 2 5 2 2 32" xfId="875"/>
    <cellStyle name="Normal 2 5 2 2 32 2" xfId="2947"/>
    <cellStyle name="Normal 2 5 2 2 33" xfId="876"/>
    <cellStyle name="Normal 2 5 2 2 33 2" xfId="2948"/>
    <cellStyle name="Normal 2 5 2 2 34" xfId="877"/>
    <cellStyle name="Normal 2 5 2 2 34 2" xfId="2949"/>
    <cellStyle name="Normal 2 5 2 2 35" xfId="878"/>
    <cellStyle name="Normal 2 5 2 2 35 2" xfId="2950"/>
    <cellStyle name="Normal 2 5 2 2 36" xfId="879"/>
    <cellStyle name="Normal 2 5 2 2 36 2" xfId="2951"/>
    <cellStyle name="Normal 2 5 2 2 37" xfId="880"/>
    <cellStyle name="Normal 2 5 2 2 37 2" xfId="2952"/>
    <cellStyle name="Normal 2 5 2 2 38" xfId="881"/>
    <cellStyle name="Normal 2 5 2 2 38 2" xfId="2953"/>
    <cellStyle name="Normal 2 5 2 2 39" xfId="882"/>
    <cellStyle name="Normal 2 5 2 2 39 2" xfId="2954"/>
    <cellStyle name="Normal 2 5 2 2 4" xfId="883"/>
    <cellStyle name="Normal 2 5 2 2 4 2" xfId="2955"/>
    <cellStyle name="Normal 2 5 2 2 40" xfId="884"/>
    <cellStyle name="Normal 2 5 2 2 40 2" xfId="2956"/>
    <cellStyle name="Normal 2 5 2 2 41" xfId="885"/>
    <cellStyle name="Normal 2 5 2 2 41 2" xfId="2957"/>
    <cellStyle name="Normal 2 5 2 2 42" xfId="886"/>
    <cellStyle name="Normal 2 5 2 2 42 2" xfId="2958"/>
    <cellStyle name="Normal 2 5 2 2 43" xfId="887"/>
    <cellStyle name="Normal 2 5 2 2 43 2" xfId="2959"/>
    <cellStyle name="Normal 2 5 2 2 44" xfId="888"/>
    <cellStyle name="Normal 2 5 2 2 44 2" xfId="2960"/>
    <cellStyle name="Normal 2 5 2 2 45" xfId="889"/>
    <cellStyle name="Normal 2 5 2 2 45 2" xfId="2961"/>
    <cellStyle name="Normal 2 5 2 2 46" xfId="890"/>
    <cellStyle name="Normal 2 5 2 2 46 2" xfId="2962"/>
    <cellStyle name="Normal 2 5 2 2 47" xfId="891"/>
    <cellStyle name="Normal 2 5 2 2 47 2" xfId="2963"/>
    <cellStyle name="Normal 2 5 2 2 48" xfId="892"/>
    <cellStyle name="Normal 2 5 2 2 48 2" xfId="2964"/>
    <cellStyle name="Normal 2 5 2 2 49" xfId="893"/>
    <cellStyle name="Normal 2 5 2 2 49 2" xfId="2965"/>
    <cellStyle name="Normal 2 5 2 2 5" xfId="894"/>
    <cellStyle name="Normal 2 5 2 2 5 2" xfId="2966"/>
    <cellStyle name="Normal 2 5 2 2 50" xfId="895"/>
    <cellStyle name="Normal 2 5 2 2 50 2" xfId="2967"/>
    <cellStyle name="Normal 2 5 2 2 51" xfId="896"/>
    <cellStyle name="Normal 2 5 2 2 51 2" xfId="2968"/>
    <cellStyle name="Normal 2 5 2 2 52" xfId="897"/>
    <cellStyle name="Normal 2 5 2 2 52 2" xfId="2969"/>
    <cellStyle name="Normal 2 5 2 2 53" xfId="898"/>
    <cellStyle name="Normal 2 5 2 2 53 2" xfId="2970"/>
    <cellStyle name="Normal 2 5 2 2 54" xfId="899"/>
    <cellStyle name="Normal 2 5 2 2 54 2" xfId="2971"/>
    <cellStyle name="Normal 2 5 2 2 55" xfId="900"/>
    <cellStyle name="Normal 2 5 2 2 55 2" xfId="2972"/>
    <cellStyle name="Normal 2 5 2 2 56" xfId="2973"/>
    <cellStyle name="Normal 2 5 2 2 6" xfId="901"/>
    <cellStyle name="Normal 2 5 2 2 6 2" xfId="2974"/>
    <cellStyle name="Normal 2 5 2 2 7" xfId="902"/>
    <cellStyle name="Normal 2 5 2 2 7 2" xfId="2975"/>
    <cellStyle name="Normal 2 5 2 2 8" xfId="903"/>
    <cellStyle name="Normal 2 5 2 2 8 2" xfId="2976"/>
    <cellStyle name="Normal 2 5 2 2 9" xfId="904"/>
    <cellStyle name="Normal 2 5 2 2 9 2" xfId="2977"/>
    <cellStyle name="Normal 2 5 2 20" xfId="905"/>
    <cellStyle name="Normal 2 5 2 20 2" xfId="2978"/>
    <cellStyle name="Normal 2 5 2 21" xfId="906"/>
    <cellStyle name="Normal 2 5 2 21 2" xfId="2979"/>
    <cellStyle name="Normal 2 5 2 22" xfId="907"/>
    <cellStyle name="Normal 2 5 2 22 2" xfId="2980"/>
    <cellStyle name="Normal 2 5 2 23" xfId="908"/>
    <cellStyle name="Normal 2 5 2 23 2" xfId="2981"/>
    <cellStyle name="Normal 2 5 2 24" xfId="909"/>
    <cellStyle name="Normal 2 5 2 24 2" xfId="2982"/>
    <cellStyle name="Normal 2 5 2 25" xfId="910"/>
    <cellStyle name="Normal 2 5 2 25 2" xfId="2983"/>
    <cellStyle name="Normal 2 5 2 26" xfId="911"/>
    <cellStyle name="Normal 2 5 2 26 2" xfId="2984"/>
    <cellStyle name="Normal 2 5 2 27" xfId="912"/>
    <cellStyle name="Normal 2 5 2 27 2" xfId="2985"/>
    <cellStyle name="Normal 2 5 2 28" xfId="913"/>
    <cellStyle name="Normal 2 5 2 28 2" xfId="2986"/>
    <cellStyle name="Normal 2 5 2 29" xfId="914"/>
    <cellStyle name="Normal 2 5 2 29 2" xfId="2987"/>
    <cellStyle name="Normal 2 5 2 3" xfId="915"/>
    <cellStyle name="Normal 2 5 2 3 2" xfId="2988"/>
    <cellStyle name="Normal 2 5 2 30" xfId="916"/>
    <cellStyle name="Normal 2 5 2 30 2" xfId="2989"/>
    <cellStyle name="Normal 2 5 2 31" xfId="917"/>
    <cellStyle name="Normal 2 5 2 31 2" xfId="2990"/>
    <cellStyle name="Normal 2 5 2 32" xfId="918"/>
    <cellStyle name="Normal 2 5 2 32 2" xfId="2991"/>
    <cellStyle name="Normal 2 5 2 33" xfId="919"/>
    <cellStyle name="Normal 2 5 2 33 2" xfId="2992"/>
    <cellStyle name="Normal 2 5 2 34" xfId="2993"/>
    <cellStyle name="Normal 2 5 2 4" xfId="920"/>
    <cellStyle name="Normal 2 5 2 4 2" xfId="2994"/>
    <cellStyle name="Normal 2 5 2 5" xfId="921"/>
    <cellStyle name="Normal 2 5 2 5 2" xfId="2995"/>
    <cellStyle name="Normal 2 5 2 6" xfId="922"/>
    <cellStyle name="Normal 2 5 2 6 2" xfId="2996"/>
    <cellStyle name="Normal 2 5 2 7" xfId="923"/>
    <cellStyle name="Normal 2 5 2 7 2" xfId="2997"/>
    <cellStyle name="Normal 2 5 2 8" xfId="924"/>
    <cellStyle name="Normal 2 5 2 8 2" xfId="2998"/>
    <cellStyle name="Normal 2 5 2 9" xfId="925"/>
    <cellStyle name="Normal 2 5 2 9 2" xfId="2999"/>
    <cellStyle name="Normal 2 5 20" xfId="926"/>
    <cellStyle name="Normal 2 5 20 2" xfId="3000"/>
    <cellStyle name="Normal 2 5 21" xfId="927"/>
    <cellStyle name="Normal 2 5 21 2" xfId="3001"/>
    <cellStyle name="Normal 2 5 22" xfId="928"/>
    <cellStyle name="Normal 2 5 22 2" xfId="3002"/>
    <cellStyle name="Normal 2 5 23" xfId="929"/>
    <cellStyle name="Normal 2 5 23 2" xfId="3003"/>
    <cellStyle name="Normal 2 5 24" xfId="930"/>
    <cellStyle name="Normal 2 5 24 2" xfId="3004"/>
    <cellStyle name="Normal 2 5 25" xfId="931"/>
    <cellStyle name="Normal 2 5 25 2" xfId="3005"/>
    <cellStyle name="Normal 2 5 26" xfId="932"/>
    <cellStyle name="Normal 2 5 26 2" xfId="3006"/>
    <cellStyle name="Normal 2 5 27" xfId="933"/>
    <cellStyle name="Normal 2 5 27 2" xfId="3007"/>
    <cellStyle name="Normal 2 5 28" xfId="934"/>
    <cellStyle name="Normal 2 5 28 2" xfId="3008"/>
    <cellStyle name="Normal 2 5 29" xfId="935"/>
    <cellStyle name="Normal 2 5 29 2" xfId="3009"/>
    <cellStyle name="Normal 2 5 3" xfId="936"/>
    <cellStyle name="Normal 2 5 3 2" xfId="3010"/>
    <cellStyle name="Normal 2 5 30" xfId="937"/>
    <cellStyle name="Normal 2 5 30 2" xfId="3011"/>
    <cellStyle name="Normal 2 5 31" xfId="938"/>
    <cellStyle name="Normal 2 5 31 2" xfId="3012"/>
    <cellStyle name="Normal 2 5 32" xfId="939"/>
    <cellStyle name="Normal 2 5 32 2" xfId="3013"/>
    <cellStyle name="Normal 2 5 33" xfId="940"/>
    <cellStyle name="Normal 2 5 33 2" xfId="3014"/>
    <cellStyle name="Normal 2 5 34" xfId="941"/>
    <cellStyle name="Normal 2 5 34 2" xfId="3015"/>
    <cellStyle name="Normal 2 5 35" xfId="942"/>
    <cellStyle name="Normal 2 5 35 2" xfId="3016"/>
    <cellStyle name="Normal 2 5 36" xfId="943"/>
    <cellStyle name="Normal 2 5 36 2" xfId="3017"/>
    <cellStyle name="Normal 2 5 37" xfId="944"/>
    <cellStyle name="Normal 2 5 37 2" xfId="3018"/>
    <cellStyle name="Normal 2 5 38" xfId="945"/>
    <cellStyle name="Normal 2 5 38 2" xfId="3019"/>
    <cellStyle name="Normal 2 5 39" xfId="946"/>
    <cellStyle name="Normal 2 5 39 2" xfId="3020"/>
    <cellStyle name="Normal 2 5 4" xfId="947"/>
    <cellStyle name="Normal 2 5 4 2" xfId="3021"/>
    <cellStyle name="Normal 2 5 40" xfId="948"/>
    <cellStyle name="Normal 2 5 40 2" xfId="3022"/>
    <cellStyle name="Normal 2 5 41" xfId="949"/>
    <cellStyle name="Normal 2 5 41 2" xfId="3023"/>
    <cellStyle name="Normal 2 5 42" xfId="950"/>
    <cellStyle name="Normal 2 5 42 2" xfId="3024"/>
    <cellStyle name="Normal 2 5 43" xfId="951"/>
    <cellStyle name="Normal 2 5 43 2" xfId="3025"/>
    <cellStyle name="Normal 2 5 44" xfId="952"/>
    <cellStyle name="Normal 2 5 44 2" xfId="3026"/>
    <cellStyle name="Normal 2 5 45" xfId="953"/>
    <cellStyle name="Normal 2 5 45 2" xfId="3027"/>
    <cellStyle name="Normal 2 5 46" xfId="954"/>
    <cellStyle name="Normal 2 5 46 2" xfId="3028"/>
    <cellStyle name="Normal 2 5 47" xfId="955"/>
    <cellStyle name="Normal 2 5 47 2" xfId="3029"/>
    <cellStyle name="Normal 2 5 48" xfId="956"/>
    <cellStyle name="Normal 2 5 48 2" xfId="3030"/>
    <cellStyle name="Normal 2 5 49" xfId="957"/>
    <cellStyle name="Normal 2 5 49 2" xfId="3031"/>
    <cellStyle name="Normal 2 5 5" xfId="958"/>
    <cellStyle name="Normal 2 5 5 2" xfId="3032"/>
    <cellStyle name="Normal 2 5 50" xfId="959"/>
    <cellStyle name="Normal 2 5 50 2" xfId="3033"/>
    <cellStyle name="Normal 2 5 51" xfId="960"/>
    <cellStyle name="Normal 2 5 51 2" xfId="3034"/>
    <cellStyle name="Normal 2 5 52" xfId="961"/>
    <cellStyle name="Normal 2 5 52 2" xfId="3035"/>
    <cellStyle name="Normal 2 5 53" xfId="962"/>
    <cellStyle name="Normal 2 5 53 2" xfId="3036"/>
    <cellStyle name="Normal 2 5 54" xfId="963"/>
    <cellStyle name="Normal 2 5 54 2" xfId="3037"/>
    <cellStyle name="Normal 2 5 55" xfId="964"/>
    <cellStyle name="Normal 2 5 55 2" xfId="3038"/>
    <cellStyle name="Normal 2 5 56" xfId="965"/>
    <cellStyle name="Normal 2 5 56 2" xfId="3039"/>
    <cellStyle name="Normal 2 5 57" xfId="966"/>
    <cellStyle name="Normal 2 5 57 2" xfId="3040"/>
    <cellStyle name="Normal 2 5 58" xfId="967"/>
    <cellStyle name="Normal 2 5 58 2" xfId="3041"/>
    <cellStyle name="Normal 2 5 59" xfId="968"/>
    <cellStyle name="Normal 2 5 59 2" xfId="3042"/>
    <cellStyle name="Normal 2 5 6" xfId="969"/>
    <cellStyle name="Normal 2 5 6 2" xfId="3043"/>
    <cellStyle name="Normal 2 5 60" xfId="970"/>
    <cellStyle name="Normal 2 5 60 2" xfId="3044"/>
    <cellStyle name="Normal 2 5 61" xfId="971"/>
    <cellStyle name="Normal 2 5 61 2" xfId="3045"/>
    <cellStyle name="Normal 2 5 62" xfId="972"/>
    <cellStyle name="Normal 2 5 62 2" xfId="3046"/>
    <cellStyle name="Normal 2 5 63" xfId="973"/>
    <cellStyle name="Normal 2 5 63 2" xfId="3047"/>
    <cellStyle name="Normal 2 5 64" xfId="974"/>
    <cellStyle name="Normal 2 5 64 2" xfId="3048"/>
    <cellStyle name="Normal 2 5 65" xfId="975"/>
    <cellStyle name="Normal 2 5 65 2" xfId="3049"/>
    <cellStyle name="Normal 2 5 66" xfId="976"/>
    <cellStyle name="Normal 2 5 66 2" xfId="3050"/>
    <cellStyle name="Normal 2 5 67" xfId="977"/>
    <cellStyle name="Normal 2 5 67 2" xfId="3051"/>
    <cellStyle name="Normal 2 5 68" xfId="978"/>
    <cellStyle name="Normal 2 5 68 2" xfId="3052"/>
    <cellStyle name="Normal 2 5 69" xfId="979"/>
    <cellStyle name="Normal 2 5 69 2" xfId="3053"/>
    <cellStyle name="Normal 2 5 7" xfId="980"/>
    <cellStyle name="Normal 2 5 7 2" xfId="3054"/>
    <cellStyle name="Normal 2 5 70" xfId="981"/>
    <cellStyle name="Normal 2 5 70 2" xfId="3055"/>
    <cellStyle name="Normal 2 5 71" xfId="982"/>
    <cellStyle name="Normal 2 5 71 2" xfId="3056"/>
    <cellStyle name="Normal 2 5 72" xfId="983"/>
    <cellStyle name="Normal 2 5 72 2" xfId="3057"/>
    <cellStyle name="Normal 2 5 73" xfId="984"/>
    <cellStyle name="Normal 2 5 73 2" xfId="3058"/>
    <cellStyle name="Normal 2 5 74" xfId="985"/>
    <cellStyle name="Normal 2 5 74 2" xfId="3059"/>
    <cellStyle name="Normal 2 5 75" xfId="986"/>
    <cellStyle name="Normal 2 5 75 2" xfId="3060"/>
    <cellStyle name="Normal 2 5 76" xfId="987"/>
    <cellStyle name="Normal 2 5 76 2" xfId="3061"/>
    <cellStyle name="Normal 2 5 77" xfId="988"/>
    <cellStyle name="Normal 2 5 77 2" xfId="3062"/>
    <cellStyle name="Normal 2 5 78" xfId="989"/>
    <cellStyle name="Normal 2 5 78 2" xfId="3063"/>
    <cellStyle name="Normal 2 5 79" xfId="990"/>
    <cellStyle name="Normal 2 5 79 2" xfId="3064"/>
    <cellStyle name="Normal 2 5 8" xfId="991"/>
    <cellStyle name="Normal 2 5 8 2" xfId="3065"/>
    <cellStyle name="Normal 2 5 80" xfId="992"/>
    <cellStyle name="Normal 2 5 80 2" xfId="3066"/>
    <cellStyle name="Normal 2 5 81" xfId="993"/>
    <cellStyle name="Normal 2 5 81 2" xfId="3067"/>
    <cellStyle name="Normal 2 5 82" xfId="994"/>
    <cellStyle name="Normal 2 5 82 2" xfId="3068"/>
    <cellStyle name="Normal 2 5 83" xfId="995"/>
    <cellStyle name="Normal 2 5 83 2" xfId="3069"/>
    <cellStyle name="Normal 2 5 84" xfId="996"/>
    <cellStyle name="Normal 2 5 84 2" xfId="3070"/>
    <cellStyle name="Normal 2 5 85" xfId="997"/>
    <cellStyle name="Normal 2 5 85 2" xfId="3071"/>
    <cellStyle name="Normal 2 5 86" xfId="998"/>
    <cellStyle name="Normal 2 5 86 2" xfId="3072"/>
    <cellStyle name="Normal 2 5 87" xfId="999"/>
    <cellStyle name="Normal 2 5 87 2" xfId="3073"/>
    <cellStyle name="Normal 2 5 88" xfId="3074"/>
    <cellStyle name="Normal 2 5 9" xfId="1000"/>
    <cellStyle name="Normal 2 5 9 2" xfId="3075"/>
    <cellStyle name="Normal 2 5_DEER 032008 Cost Summary Delivery - Rev 4 (2)" xfId="1001"/>
    <cellStyle name="Normal 2 50" xfId="1002"/>
    <cellStyle name="Normal 2 50 2" xfId="3076"/>
    <cellStyle name="Normal 2 51" xfId="1003"/>
    <cellStyle name="Normal 2 51 2" xfId="3077"/>
    <cellStyle name="Normal 2 52" xfId="1004"/>
    <cellStyle name="Normal 2 52 2" xfId="3078"/>
    <cellStyle name="Normal 2 53" xfId="1005"/>
    <cellStyle name="Normal 2 53 2" xfId="3079"/>
    <cellStyle name="Normal 2 54" xfId="1006"/>
    <cellStyle name="Normal 2 54 2" xfId="3080"/>
    <cellStyle name="Normal 2 55" xfId="1007"/>
    <cellStyle name="Normal 2 55 2" xfId="3081"/>
    <cellStyle name="Normal 2 56" xfId="1008"/>
    <cellStyle name="Normal 2 56 2" xfId="3082"/>
    <cellStyle name="Normal 2 57" xfId="1009"/>
    <cellStyle name="Normal 2 57 2" xfId="3083"/>
    <cellStyle name="Normal 2 58" xfId="1010"/>
    <cellStyle name="Normal 2 58 2" xfId="3084"/>
    <cellStyle name="Normal 2 59" xfId="1011"/>
    <cellStyle name="Normal 2 59 2" xfId="3085"/>
    <cellStyle name="Normal 2 6" xfId="1012"/>
    <cellStyle name="Normal 2 6 2" xfId="3086"/>
    <cellStyle name="Normal 2 60" xfId="1013"/>
    <cellStyle name="Normal 2 60 2" xfId="3087"/>
    <cellStyle name="Normal 2 61" xfId="1014"/>
    <cellStyle name="Normal 2 61 2" xfId="3088"/>
    <cellStyle name="Normal 2 62" xfId="1015"/>
    <cellStyle name="Normal 2 62 2" xfId="3089"/>
    <cellStyle name="Normal 2 63" xfId="1016"/>
    <cellStyle name="Normal 2 63 2" xfId="3090"/>
    <cellStyle name="Normal 2 64" xfId="1017"/>
    <cellStyle name="Normal 2 64 2" xfId="3091"/>
    <cellStyle name="Normal 2 65" xfId="1018"/>
    <cellStyle name="Normal 2 65 2" xfId="3092"/>
    <cellStyle name="Normal 2 66" xfId="1019"/>
    <cellStyle name="Normal 2 66 2" xfId="3093"/>
    <cellStyle name="Normal 2 67" xfId="1020"/>
    <cellStyle name="Normal 2 67 2" xfId="3094"/>
    <cellStyle name="Normal 2 68" xfId="1021"/>
    <cellStyle name="Normal 2 68 2" xfId="3095"/>
    <cellStyle name="Normal 2 69" xfId="1022"/>
    <cellStyle name="Normal 2 69 2" xfId="3096"/>
    <cellStyle name="Normal 2 7" xfId="1023"/>
    <cellStyle name="Normal 2 7 2" xfId="3097"/>
    <cellStyle name="Normal 2 70" xfId="1024"/>
    <cellStyle name="Normal 2 70 2" xfId="3098"/>
    <cellStyle name="Normal 2 71" xfId="1025"/>
    <cellStyle name="Normal 2 71 2" xfId="3099"/>
    <cellStyle name="Normal 2 72" xfId="1026"/>
    <cellStyle name="Normal 2 72 2" xfId="3100"/>
    <cellStyle name="Normal 2 73" xfId="1027"/>
    <cellStyle name="Normal 2 73 2" xfId="3101"/>
    <cellStyle name="Normal 2 74" xfId="1028"/>
    <cellStyle name="Normal 2 74 2" xfId="3102"/>
    <cellStyle name="Normal 2 75" xfId="1029"/>
    <cellStyle name="Normal 2 75 2" xfId="3103"/>
    <cellStyle name="Normal 2 76" xfId="1030"/>
    <cellStyle name="Normal 2 76 2" xfId="3104"/>
    <cellStyle name="Normal 2 77" xfId="1031"/>
    <cellStyle name="Normal 2 77 2" xfId="3105"/>
    <cellStyle name="Normal 2 78" xfId="1032"/>
    <cellStyle name="Normal 2 78 2" xfId="3106"/>
    <cellStyle name="Normal 2 79" xfId="1033"/>
    <cellStyle name="Normal 2 79 2" xfId="3107"/>
    <cellStyle name="Normal 2 8" xfId="1034"/>
    <cellStyle name="Normal 2 8 10" xfId="1035"/>
    <cellStyle name="Normal 2 8 10 2" xfId="3108"/>
    <cellStyle name="Normal 2 8 11" xfId="1036"/>
    <cellStyle name="Normal 2 8 11 2" xfId="3109"/>
    <cellStyle name="Normal 2 8 12" xfId="1037"/>
    <cellStyle name="Normal 2 8 12 2" xfId="3110"/>
    <cellStyle name="Normal 2 8 13" xfId="1038"/>
    <cellStyle name="Normal 2 8 13 2" xfId="3111"/>
    <cellStyle name="Normal 2 8 14" xfId="1039"/>
    <cellStyle name="Normal 2 8 14 2" xfId="3112"/>
    <cellStyle name="Normal 2 8 15" xfId="1040"/>
    <cellStyle name="Normal 2 8 15 2" xfId="3113"/>
    <cellStyle name="Normal 2 8 16" xfId="1041"/>
    <cellStyle name="Normal 2 8 16 2" xfId="3114"/>
    <cellStyle name="Normal 2 8 17" xfId="1042"/>
    <cellStyle name="Normal 2 8 17 2" xfId="3115"/>
    <cellStyle name="Normal 2 8 18" xfId="1043"/>
    <cellStyle name="Normal 2 8 18 2" xfId="3116"/>
    <cellStyle name="Normal 2 8 19" xfId="1044"/>
    <cellStyle name="Normal 2 8 19 2" xfId="3117"/>
    <cellStyle name="Normal 2 8 2" xfId="1045"/>
    <cellStyle name="Normal 2 8 2 2" xfId="3118"/>
    <cellStyle name="Normal 2 8 20" xfId="1046"/>
    <cellStyle name="Normal 2 8 20 2" xfId="3119"/>
    <cellStyle name="Normal 2 8 21" xfId="1047"/>
    <cellStyle name="Normal 2 8 21 2" xfId="3120"/>
    <cellStyle name="Normal 2 8 22" xfId="1048"/>
    <cellStyle name="Normal 2 8 22 2" xfId="3121"/>
    <cellStyle name="Normal 2 8 23" xfId="1049"/>
    <cellStyle name="Normal 2 8 23 2" xfId="3122"/>
    <cellStyle name="Normal 2 8 24" xfId="3123"/>
    <cellStyle name="Normal 2 8 3" xfId="1050"/>
    <cellStyle name="Normal 2 8 3 2" xfId="3124"/>
    <cellStyle name="Normal 2 8 4" xfId="1051"/>
    <cellStyle name="Normal 2 8 4 2" xfId="3125"/>
    <cellStyle name="Normal 2 8 5" xfId="1052"/>
    <cellStyle name="Normal 2 8 5 2" xfId="3126"/>
    <cellStyle name="Normal 2 8 6" xfId="1053"/>
    <cellStyle name="Normal 2 8 6 2" xfId="3127"/>
    <cellStyle name="Normal 2 8 7" xfId="1054"/>
    <cellStyle name="Normal 2 8 7 2" xfId="3128"/>
    <cellStyle name="Normal 2 8 8" xfId="1055"/>
    <cellStyle name="Normal 2 8 8 2" xfId="3129"/>
    <cellStyle name="Normal 2 8 9" xfId="1056"/>
    <cellStyle name="Normal 2 8 9 2" xfId="3130"/>
    <cellStyle name="Normal 2 80" xfId="1057"/>
    <cellStyle name="Normal 2 80 2" xfId="3131"/>
    <cellStyle name="Normal 2 81" xfId="1058"/>
    <cellStyle name="Normal 2 81 2" xfId="3132"/>
    <cellStyle name="Normal 2 82" xfId="1059"/>
    <cellStyle name="Normal 2 82 2" xfId="3133"/>
    <cellStyle name="Normal 2 83" xfId="1060"/>
    <cellStyle name="Normal 2 83 2" xfId="3134"/>
    <cellStyle name="Normal 2 84" xfId="1061"/>
    <cellStyle name="Normal 2 84 2" xfId="3135"/>
    <cellStyle name="Normal 2 85" xfId="1062"/>
    <cellStyle name="Normal 2 85 2" xfId="3136"/>
    <cellStyle name="Normal 2 86" xfId="1063"/>
    <cellStyle name="Normal 2 86 2" xfId="3137"/>
    <cellStyle name="Normal 2 87" xfId="1064"/>
    <cellStyle name="Normal 2 87 2" xfId="3138"/>
    <cellStyle name="Normal 2 88" xfId="1065"/>
    <cellStyle name="Normal 2 88 2" xfId="3139"/>
    <cellStyle name="Normal 2 89" xfId="1066"/>
    <cellStyle name="Normal 2 89 2" xfId="3140"/>
    <cellStyle name="Normal 2 9" xfId="1067"/>
    <cellStyle name="Normal 2 9 10" xfId="1068"/>
    <cellStyle name="Normal 2 9 10 2" xfId="3141"/>
    <cellStyle name="Normal 2 9 11" xfId="1069"/>
    <cellStyle name="Normal 2 9 11 2" xfId="3142"/>
    <cellStyle name="Normal 2 9 12" xfId="1070"/>
    <cellStyle name="Normal 2 9 12 2" xfId="3143"/>
    <cellStyle name="Normal 2 9 13" xfId="1071"/>
    <cellStyle name="Normal 2 9 13 2" xfId="3144"/>
    <cellStyle name="Normal 2 9 14" xfId="1072"/>
    <cellStyle name="Normal 2 9 14 2" xfId="3145"/>
    <cellStyle name="Normal 2 9 15" xfId="1073"/>
    <cellStyle name="Normal 2 9 15 2" xfId="3146"/>
    <cellStyle name="Normal 2 9 16" xfId="1074"/>
    <cellStyle name="Normal 2 9 16 2" xfId="3147"/>
    <cellStyle name="Normal 2 9 17" xfId="1075"/>
    <cellStyle name="Normal 2 9 17 2" xfId="3148"/>
    <cellStyle name="Normal 2 9 18" xfId="1076"/>
    <cellStyle name="Normal 2 9 18 2" xfId="3149"/>
    <cellStyle name="Normal 2 9 19" xfId="1077"/>
    <cellStyle name="Normal 2 9 19 2" xfId="3150"/>
    <cellStyle name="Normal 2 9 2" xfId="1078"/>
    <cellStyle name="Normal 2 9 2 2" xfId="3151"/>
    <cellStyle name="Normal 2 9 20" xfId="1079"/>
    <cellStyle name="Normal 2 9 20 2" xfId="3152"/>
    <cellStyle name="Normal 2 9 21" xfId="1080"/>
    <cellStyle name="Normal 2 9 21 2" xfId="3153"/>
    <cellStyle name="Normal 2 9 22" xfId="1081"/>
    <cellStyle name="Normal 2 9 22 2" xfId="3154"/>
    <cellStyle name="Normal 2 9 23" xfId="1082"/>
    <cellStyle name="Normal 2 9 23 2" xfId="3155"/>
    <cellStyle name="Normal 2 9 24" xfId="3156"/>
    <cellStyle name="Normal 2 9 3" xfId="1083"/>
    <cellStyle name="Normal 2 9 3 2" xfId="3157"/>
    <cellStyle name="Normal 2 9 4" xfId="1084"/>
    <cellStyle name="Normal 2 9 4 2" xfId="3158"/>
    <cellStyle name="Normal 2 9 5" xfId="1085"/>
    <cellStyle name="Normal 2 9 5 2" xfId="3159"/>
    <cellStyle name="Normal 2 9 6" xfId="1086"/>
    <cellStyle name="Normal 2 9 6 2" xfId="3160"/>
    <cellStyle name="Normal 2 9 7" xfId="1087"/>
    <cellStyle name="Normal 2 9 7 2" xfId="3161"/>
    <cellStyle name="Normal 2 9 8" xfId="1088"/>
    <cellStyle name="Normal 2 9 8 2" xfId="3162"/>
    <cellStyle name="Normal 2 9 9" xfId="1089"/>
    <cellStyle name="Normal 2 9 9 2" xfId="3163"/>
    <cellStyle name="Normal 2 90" xfId="1090"/>
    <cellStyle name="Normal 2 90 2" xfId="3164"/>
    <cellStyle name="Normal 2 91" xfId="1091"/>
    <cellStyle name="Normal 2 91 2" xfId="3165"/>
    <cellStyle name="Normal 2 92" xfId="1092"/>
    <cellStyle name="Normal 2 92 2" xfId="3166"/>
    <cellStyle name="Normal 2 93" xfId="1093"/>
    <cellStyle name="Normal 2 93 2" xfId="3167"/>
    <cellStyle name="Normal 2 94" xfId="1094"/>
    <cellStyle name="Normal 2 94 2" xfId="3168"/>
    <cellStyle name="Normal 2 95" xfId="1095"/>
    <cellStyle name="Normal 2 95 2" xfId="3169"/>
    <cellStyle name="Normal 2 96" xfId="1096"/>
    <cellStyle name="Normal 2 96 2" xfId="3170"/>
    <cellStyle name="Normal 2 97" xfId="1097"/>
    <cellStyle name="Normal 2 97 2" xfId="3171"/>
    <cellStyle name="Normal 2 98" xfId="1098"/>
    <cellStyle name="Normal 2 98 2" xfId="3172"/>
    <cellStyle name="Normal 2 99" xfId="1099"/>
    <cellStyle name="Normal 2 99 2" xfId="3173"/>
    <cellStyle name="Normal 2_DEER 032008 Cost Summary Delivery - Rev 4 (2)" xfId="3174"/>
    <cellStyle name="Normal 20" xfId="1100"/>
    <cellStyle name="Normal 20 2" xfId="1101"/>
    <cellStyle name="Normal 20 3" xfId="3175"/>
    <cellStyle name="Normal 21" xfId="57"/>
    <cellStyle name="Normal 21 2" xfId="3176"/>
    <cellStyle name="Normal 21 2 2" xfId="3177"/>
    <cellStyle name="Normal 21 3" xfId="3178"/>
    <cellStyle name="Normal 21 4" xfId="3179"/>
    <cellStyle name="Normal 21 5" xfId="3180"/>
    <cellStyle name="Normal 22" xfId="58"/>
    <cellStyle name="Normal 22 2" xfId="3181"/>
    <cellStyle name="Normal 22 2 2" xfId="3182"/>
    <cellStyle name="Normal 22 2 3" xfId="3183"/>
    <cellStyle name="Normal 22 3" xfId="3184"/>
    <cellStyle name="Normal 22 4" xfId="3185"/>
    <cellStyle name="Normal 22 5" xfId="3186"/>
    <cellStyle name="Normal 23" xfId="1102"/>
    <cellStyle name="Normal 23 2" xfId="3187"/>
    <cellStyle name="Normal 23 3" xfId="3188"/>
    <cellStyle name="Normal 24" xfId="1103"/>
    <cellStyle name="Normal 24 2" xfId="3189"/>
    <cellStyle name="Normal 24 3" xfId="3190"/>
    <cellStyle name="Normal 25" xfId="1104"/>
    <cellStyle name="Normal 25 2" xfId="3191"/>
    <cellStyle name="Normal 25 3" xfId="3192"/>
    <cellStyle name="Normal 26" xfId="3193"/>
    <cellStyle name="Normal 26 2" xfId="3194"/>
    <cellStyle name="Normal 27" xfId="3195"/>
    <cellStyle name="Normal 27 2" xfId="3196"/>
    <cellStyle name="Normal 28" xfId="3197"/>
    <cellStyle name="Normal 28 2" xfId="3198"/>
    <cellStyle name="Normal 29" xfId="3199"/>
    <cellStyle name="Normal 29 2" xfId="3200"/>
    <cellStyle name="Normal 3" xfId="44"/>
    <cellStyle name="Normal 3 10" xfId="1105"/>
    <cellStyle name="Normal 3 10 10" xfId="1106"/>
    <cellStyle name="Normal 3 10 10 2" xfId="3201"/>
    <cellStyle name="Normal 3 10 11" xfId="1107"/>
    <cellStyle name="Normal 3 10 11 2" xfId="3202"/>
    <cellStyle name="Normal 3 10 12" xfId="1108"/>
    <cellStyle name="Normal 3 10 12 2" xfId="3203"/>
    <cellStyle name="Normal 3 10 13" xfId="1109"/>
    <cellStyle name="Normal 3 10 13 2" xfId="3204"/>
    <cellStyle name="Normal 3 10 14" xfId="1110"/>
    <cellStyle name="Normal 3 10 14 2" xfId="3205"/>
    <cellStyle name="Normal 3 10 15" xfId="1111"/>
    <cellStyle name="Normal 3 10 15 2" xfId="3206"/>
    <cellStyle name="Normal 3 10 16" xfId="1112"/>
    <cellStyle name="Normal 3 10 16 2" xfId="3207"/>
    <cellStyle name="Normal 3 10 17" xfId="1113"/>
    <cellStyle name="Normal 3 10 17 2" xfId="3208"/>
    <cellStyle name="Normal 3 10 18" xfId="1114"/>
    <cellStyle name="Normal 3 10 18 2" xfId="3209"/>
    <cellStyle name="Normal 3 10 19" xfId="1115"/>
    <cellStyle name="Normal 3 10 19 2" xfId="3210"/>
    <cellStyle name="Normal 3 10 2" xfId="1116"/>
    <cellStyle name="Normal 3 10 2 2" xfId="3211"/>
    <cellStyle name="Normal 3 10 20" xfId="1117"/>
    <cellStyle name="Normal 3 10 20 2" xfId="3212"/>
    <cellStyle name="Normal 3 10 21" xfId="1118"/>
    <cellStyle name="Normal 3 10 21 2" xfId="3213"/>
    <cellStyle name="Normal 3 10 22" xfId="1119"/>
    <cellStyle name="Normal 3 10 22 2" xfId="3214"/>
    <cellStyle name="Normal 3 10 23" xfId="1120"/>
    <cellStyle name="Normal 3 10 23 2" xfId="3215"/>
    <cellStyle name="Normal 3 10 24" xfId="3216"/>
    <cellStyle name="Normal 3 10 3" xfId="1121"/>
    <cellStyle name="Normal 3 10 3 2" xfId="3217"/>
    <cellStyle name="Normal 3 10 4" xfId="1122"/>
    <cellStyle name="Normal 3 10 4 2" xfId="3218"/>
    <cellStyle name="Normal 3 10 5" xfId="1123"/>
    <cellStyle name="Normal 3 10 5 2" xfId="3219"/>
    <cellStyle name="Normal 3 10 6" xfId="1124"/>
    <cellStyle name="Normal 3 10 6 2" xfId="3220"/>
    <cellStyle name="Normal 3 10 7" xfId="1125"/>
    <cellStyle name="Normal 3 10 7 2" xfId="3221"/>
    <cellStyle name="Normal 3 10 8" xfId="1126"/>
    <cellStyle name="Normal 3 10 8 2" xfId="3222"/>
    <cellStyle name="Normal 3 10 9" xfId="1127"/>
    <cellStyle name="Normal 3 10 9 2" xfId="3223"/>
    <cellStyle name="Normal 3 11" xfId="1128"/>
    <cellStyle name="Normal 3 11 10" xfId="1129"/>
    <cellStyle name="Normal 3 11 10 2" xfId="3224"/>
    <cellStyle name="Normal 3 11 11" xfId="1130"/>
    <cellStyle name="Normal 3 11 11 2" xfId="3225"/>
    <cellStyle name="Normal 3 11 12" xfId="1131"/>
    <cellStyle name="Normal 3 11 12 2" xfId="3226"/>
    <cellStyle name="Normal 3 11 13" xfId="1132"/>
    <cellStyle name="Normal 3 11 13 2" xfId="3227"/>
    <cellStyle name="Normal 3 11 14" xfId="1133"/>
    <cellStyle name="Normal 3 11 14 2" xfId="3228"/>
    <cellStyle name="Normal 3 11 15" xfId="1134"/>
    <cellStyle name="Normal 3 11 15 2" xfId="3229"/>
    <cellStyle name="Normal 3 11 16" xfId="1135"/>
    <cellStyle name="Normal 3 11 16 2" xfId="3230"/>
    <cellStyle name="Normal 3 11 17" xfId="1136"/>
    <cellStyle name="Normal 3 11 17 2" xfId="3231"/>
    <cellStyle name="Normal 3 11 18" xfId="1137"/>
    <cellStyle name="Normal 3 11 18 2" xfId="3232"/>
    <cellStyle name="Normal 3 11 19" xfId="1138"/>
    <cellStyle name="Normal 3 11 19 2" xfId="3233"/>
    <cellStyle name="Normal 3 11 2" xfId="1139"/>
    <cellStyle name="Normal 3 11 2 2" xfId="3234"/>
    <cellStyle name="Normal 3 11 20" xfId="1140"/>
    <cellStyle name="Normal 3 11 20 2" xfId="3235"/>
    <cellStyle name="Normal 3 11 21" xfId="1141"/>
    <cellStyle name="Normal 3 11 21 2" xfId="3236"/>
    <cellStyle name="Normal 3 11 22" xfId="1142"/>
    <cellStyle name="Normal 3 11 22 2" xfId="3237"/>
    <cellStyle name="Normal 3 11 23" xfId="1143"/>
    <cellStyle name="Normal 3 11 23 2" xfId="3238"/>
    <cellStyle name="Normal 3 11 24" xfId="3239"/>
    <cellStyle name="Normal 3 11 3" xfId="1144"/>
    <cellStyle name="Normal 3 11 3 2" xfId="3240"/>
    <cellStyle name="Normal 3 11 4" xfId="1145"/>
    <cellStyle name="Normal 3 11 4 2" xfId="3241"/>
    <cellStyle name="Normal 3 11 5" xfId="1146"/>
    <cellStyle name="Normal 3 11 5 2" xfId="3242"/>
    <cellStyle name="Normal 3 11 6" xfId="1147"/>
    <cellStyle name="Normal 3 11 6 2" xfId="3243"/>
    <cellStyle name="Normal 3 11 7" xfId="1148"/>
    <cellStyle name="Normal 3 11 7 2" xfId="3244"/>
    <cellStyle name="Normal 3 11 8" xfId="1149"/>
    <cellStyle name="Normal 3 11 8 2" xfId="3245"/>
    <cellStyle name="Normal 3 11 9" xfId="1150"/>
    <cellStyle name="Normal 3 11 9 2" xfId="3246"/>
    <cellStyle name="Normal 3 12" xfId="1151"/>
    <cellStyle name="Normal 3 12 10" xfId="1152"/>
    <cellStyle name="Normal 3 12 10 2" xfId="3247"/>
    <cellStyle name="Normal 3 12 11" xfId="1153"/>
    <cellStyle name="Normal 3 12 11 2" xfId="3248"/>
    <cellStyle name="Normal 3 12 12" xfId="1154"/>
    <cellStyle name="Normal 3 12 12 2" xfId="3249"/>
    <cellStyle name="Normal 3 12 13" xfId="1155"/>
    <cellStyle name="Normal 3 12 13 2" xfId="3250"/>
    <cellStyle name="Normal 3 12 14" xfId="1156"/>
    <cellStyle name="Normal 3 12 14 2" xfId="3251"/>
    <cellStyle name="Normal 3 12 15" xfId="1157"/>
    <cellStyle name="Normal 3 12 15 2" xfId="3252"/>
    <cellStyle name="Normal 3 12 16" xfId="1158"/>
    <cellStyle name="Normal 3 12 16 2" xfId="3253"/>
    <cellStyle name="Normal 3 12 17" xfId="1159"/>
    <cellStyle name="Normal 3 12 17 2" xfId="3254"/>
    <cellStyle name="Normal 3 12 18" xfId="1160"/>
    <cellStyle name="Normal 3 12 18 2" xfId="3255"/>
    <cellStyle name="Normal 3 12 19" xfId="1161"/>
    <cellStyle name="Normal 3 12 19 2" xfId="3256"/>
    <cellStyle name="Normal 3 12 2" xfId="1162"/>
    <cellStyle name="Normal 3 12 2 2" xfId="3257"/>
    <cellStyle name="Normal 3 12 20" xfId="1163"/>
    <cellStyle name="Normal 3 12 20 2" xfId="3258"/>
    <cellStyle name="Normal 3 12 21" xfId="1164"/>
    <cellStyle name="Normal 3 12 21 2" xfId="3259"/>
    <cellStyle name="Normal 3 12 22" xfId="1165"/>
    <cellStyle name="Normal 3 12 22 2" xfId="3260"/>
    <cellStyle name="Normal 3 12 23" xfId="1166"/>
    <cellStyle name="Normal 3 12 23 2" xfId="3261"/>
    <cellStyle name="Normal 3 12 24" xfId="3262"/>
    <cellStyle name="Normal 3 12 3" xfId="1167"/>
    <cellStyle name="Normal 3 12 3 2" xfId="3263"/>
    <cellStyle name="Normal 3 12 4" xfId="1168"/>
    <cellStyle name="Normal 3 12 4 2" xfId="3264"/>
    <cellStyle name="Normal 3 12 5" xfId="1169"/>
    <cellStyle name="Normal 3 12 5 2" xfId="3265"/>
    <cellStyle name="Normal 3 12 6" xfId="1170"/>
    <cellStyle name="Normal 3 12 6 2" xfId="3266"/>
    <cellStyle name="Normal 3 12 7" xfId="1171"/>
    <cellStyle name="Normal 3 12 7 2" xfId="3267"/>
    <cellStyle name="Normal 3 12 8" xfId="1172"/>
    <cellStyle name="Normal 3 12 8 2" xfId="3268"/>
    <cellStyle name="Normal 3 12 9" xfId="1173"/>
    <cellStyle name="Normal 3 12 9 2" xfId="3269"/>
    <cellStyle name="Normal 3 13" xfId="1174"/>
    <cellStyle name="Normal 3 13 10" xfId="1175"/>
    <cellStyle name="Normal 3 13 10 2" xfId="3270"/>
    <cellStyle name="Normal 3 13 11" xfId="1176"/>
    <cellStyle name="Normal 3 13 11 2" xfId="3271"/>
    <cellStyle name="Normal 3 13 12" xfId="1177"/>
    <cellStyle name="Normal 3 13 12 2" xfId="3272"/>
    <cellStyle name="Normal 3 13 13" xfId="1178"/>
    <cellStyle name="Normal 3 13 13 2" xfId="3273"/>
    <cellStyle name="Normal 3 13 14" xfId="1179"/>
    <cellStyle name="Normal 3 13 14 2" xfId="3274"/>
    <cellStyle name="Normal 3 13 15" xfId="1180"/>
    <cellStyle name="Normal 3 13 15 2" xfId="3275"/>
    <cellStyle name="Normal 3 13 16" xfId="1181"/>
    <cellStyle name="Normal 3 13 16 2" xfId="3276"/>
    <cellStyle name="Normal 3 13 17" xfId="1182"/>
    <cellStyle name="Normal 3 13 17 2" xfId="3277"/>
    <cellStyle name="Normal 3 13 18" xfId="1183"/>
    <cellStyle name="Normal 3 13 18 2" xfId="3278"/>
    <cellStyle name="Normal 3 13 19" xfId="1184"/>
    <cellStyle name="Normal 3 13 19 2" xfId="3279"/>
    <cellStyle name="Normal 3 13 2" xfId="1185"/>
    <cellStyle name="Normal 3 13 2 2" xfId="3280"/>
    <cellStyle name="Normal 3 13 20" xfId="1186"/>
    <cellStyle name="Normal 3 13 20 2" xfId="3281"/>
    <cellStyle name="Normal 3 13 21" xfId="1187"/>
    <cellStyle name="Normal 3 13 21 2" xfId="3282"/>
    <cellStyle name="Normal 3 13 22" xfId="1188"/>
    <cellStyle name="Normal 3 13 22 2" xfId="3283"/>
    <cellStyle name="Normal 3 13 23" xfId="1189"/>
    <cellStyle name="Normal 3 13 23 2" xfId="3284"/>
    <cellStyle name="Normal 3 13 24" xfId="3285"/>
    <cellStyle name="Normal 3 13 3" xfId="1190"/>
    <cellStyle name="Normal 3 13 3 2" xfId="3286"/>
    <cellStyle name="Normal 3 13 4" xfId="1191"/>
    <cellStyle name="Normal 3 13 4 2" xfId="3287"/>
    <cellStyle name="Normal 3 13 5" xfId="1192"/>
    <cellStyle name="Normal 3 13 5 2" xfId="3288"/>
    <cellStyle name="Normal 3 13 6" xfId="1193"/>
    <cellStyle name="Normal 3 13 6 2" xfId="3289"/>
    <cellStyle name="Normal 3 13 7" xfId="1194"/>
    <cellStyle name="Normal 3 13 7 2" xfId="3290"/>
    <cellStyle name="Normal 3 13 8" xfId="1195"/>
    <cellStyle name="Normal 3 13 8 2" xfId="3291"/>
    <cellStyle name="Normal 3 13 9" xfId="1196"/>
    <cellStyle name="Normal 3 13 9 2" xfId="3292"/>
    <cellStyle name="Normal 3 14" xfId="1197"/>
    <cellStyle name="Normal 3 14 10" xfId="1198"/>
    <cellStyle name="Normal 3 14 10 2" xfId="3293"/>
    <cellStyle name="Normal 3 14 11" xfId="1199"/>
    <cellStyle name="Normal 3 14 11 2" xfId="3294"/>
    <cellStyle name="Normal 3 14 12" xfId="1200"/>
    <cellStyle name="Normal 3 14 12 2" xfId="3295"/>
    <cellStyle name="Normal 3 14 13" xfId="1201"/>
    <cellStyle name="Normal 3 14 13 2" xfId="3296"/>
    <cellStyle name="Normal 3 14 14" xfId="1202"/>
    <cellStyle name="Normal 3 14 14 2" xfId="3297"/>
    <cellStyle name="Normal 3 14 15" xfId="1203"/>
    <cellStyle name="Normal 3 14 15 2" xfId="3298"/>
    <cellStyle name="Normal 3 14 16" xfId="1204"/>
    <cellStyle name="Normal 3 14 16 2" xfId="3299"/>
    <cellStyle name="Normal 3 14 17" xfId="1205"/>
    <cellStyle name="Normal 3 14 17 2" xfId="3300"/>
    <cellStyle name="Normal 3 14 18" xfId="1206"/>
    <cellStyle name="Normal 3 14 18 2" xfId="3301"/>
    <cellStyle name="Normal 3 14 19" xfId="1207"/>
    <cellStyle name="Normal 3 14 19 2" xfId="3302"/>
    <cellStyle name="Normal 3 14 2" xfId="1208"/>
    <cellStyle name="Normal 3 14 2 2" xfId="3303"/>
    <cellStyle name="Normal 3 14 20" xfId="1209"/>
    <cellStyle name="Normal 3 14 20 2" xfId="3304"/>
    <cellStyle name="Normal 3 14 21" xfId="1210"/>
    <cellStyle name="Normal 3 14 21 2" xfId="3305"/>
    <cellStyle name="Normal 3 14 22" xfId="1211"/>
    <cellStyle name="Normal 3 14 22 2" xfId="3306"/>
    <cellStyle name="Normal 3 14 23" xfId="1212"/>
    <cellStyle name="Normal 3 14 23 2" xfId="3307"/>
    <cellStyle name="Normal 3 14 24" xfId="3308"/>
    <cellStyle name="Normal 3 14 3" xfId="1213"/>
    <cellStyle name="Normal 3 14 3 2" xfId="3309"/>
    <cellStyle name="Normal 3 14 4" xfId="1214"/>
    <cellStyle name="Normal 3 14 4 2" xfId="3310"/>
    <cellStyle name="Normal 3 14 5" xfId="1215"/>
    <cellStyle name="Normal 3 14 5 2" xfId="3311"/>
    <cellStyle name="Normal 3 14 6" xfId="1216"/>
    <cellStyle name="Normal 3 14 6 2" xfId="3312"/>
    <cellStyle name="Normal 3 14 7" xfId="1217"/>
    <cellStyle name="Normal 3 14 7 2" xfId="3313"/>
    <cellStyle name="Normal 3 14 8" xfId="1218"/>
    <cellStyle name="Normal 3 14 8 2" xfId="3314"/>
    <cellStyle name="Normal 3 14 9" xfId="1219"/>
    <cellStyle name="Normal 3 14 9 2" xfId="3315"/>
    <cellStyle name="Normal 3 15" xfId="1220"/>
    <cellStyle name="Normal 3 15 10" xfId="1221"/>
    <cellStyle name="Normal 3 15 10 2" xfId="3316"/>
    <cellStyle name="Normal 3 15 11" xfId="1222"/>
    <cellStyle name="Normal 3 15 11 2" xfId="3317"/>
    <cellStyle name="Normal 3 15 12" xfId="1223"/>
    <cellStyle name="Normal 3 15 12 2" xfId="3318"/>
    <cellStyle name="Normal 3 15 13" xfId="1224"/>
    <cellStyle name="Normal 3 15 13 2" xfId="3319"/>
    <cellStyle name="Normal 3 15 14" xfId="1225"/>
    <cellStyle name="Normal 3 15 14 2" xfId="3320"/>
    <cellStyle name="Normal 3 15 15" xfId="1226"/>
    <cellStyle name="Normal 3 15 15 2" xfId="3321"/>
    <cellStyle name="Normal 3 15 16" xfId="1227"/>
    <cellStyle name="Normal 3 15 16 2" xfId="3322"/>
    <cellStyle name="Normal 3 15 17" xfId="1228"/>
    <cellStyle name="Normal 3 15 17 2" xfId="3323"/>
    <cellStyle name="Normal 3 15 18" xfId="1229"/>
    <cellStyle name="Normal 3 15 18 2" xfId="3324"/>
    <cellStyle name="Normal 3 15 19" xfId="1230"/>
    <cellStyle name="Normal 3 15 19 2" xfId="3325"/>
    <cellStyle name="Normal 3 15 2" xfId="1231"/>
    <cellStyle name="Normal 3 15 2 2" xfId="3326"/>
    <cellStyle name="Normal 3 15 20" xfId="1232"/>
    <cellStyle name="Normal 3 15 20 2" xfId="3327"/>
    <cellStyle name="Normal 3 15 21" xfId="1233"/>
    <cellStyle name="Normal 3 15 21 2" xfId="3328"/>
    <cellStyle name="Normal 3 15 22" xfId="1234"/>
    <cellStyle name="Normal 3 15 22 2" xfId="3329"/>
    <cellStyle name="Normal 3 15 23" xfId="1235"/>
    <cellStyle name="Normal 3 15 23 2" xfId="3330"/>
    <cellStyle name="Normal 3 15 24" xfId="3331"/>
    <cellStyle name="Normal 3 15 3" xfId="1236"/>
    <cellStyle name="Normal 3 15 3 2" xfId="3332"/>
    <cellStyle name="Normal 3 15 4" xfId="1237"/>
    <cellStyle name="Normal 3 15 4 2" xfId="3333"/>
    <cellStyle name="Normal 3 15 5" xfId="1238"/>
    <cellStyle name="Normal 3 15 5 2" xfId="3334"/>
    <cellStyle name="Normal 3 15 6" xfId="1239"/>
    <cellStyle name="Normal 3 15 6 2" xfId="3335"/>
    <cellStyle name="Normal 3 15 7" xfId="1240"/>
    <cellStyle name="Normal 3 15 7 2" xfId="3336"/>
    <cellStyle name="Normal 3 15 8" xfId="1241"/>
    <cellStyle name="Normal 3 15 8 2" xfId="3337"/>
    <cellStyle name="Normal 3 15 9" xfId="1242"/>
    <cellStyle name="Normal 3 15 9 2" xfId="3338"/>
    <cellStyle name="Normal 3 16" xfId="1243"/>
    <cellStyle name="Normal 3 16 10" xfId="1244"/>
    <cellStyle name="Normal 3 16 10 2" xfId="3339"/>
    <cellStyle name="Normal 3 16 11" xfId="1245"/>
    <cellStyle name="Normal 3 16 11 2" xfId="3340"/>
    <cellStyle name="Normal 3 16 12" xfId="1246"/>
    <cellStyle name="Normal 3 16 12 2" xfId="3341"/>
    <cellStyle name="Normal 3 16 13" xfId="1247"/>
    <cellStyle name="Normal 3 16 13 2" xfId="3342"/>
    <cellStyle name="Normal 3 16 14" xfId="1248"/>
    <cellStyle name="Normal 3 16 14 2" xfId="3343"/>
    <cellStyle name="Normal 3 16 15" xfId="1249"/>
    <cellStyle name="Normal 3 16 15 2" xfId="3344"/>
    <cellStyle name="Normal 3 16 16" xfId="1250"/>
    <cellStyle name="Normal 3 16 16 2" xfId="3345"/>
    <cellStyle name="Normal 3 16 17" xfId="1251"/>
    <cellStyle name="Normal 3 16 17 2" xfId="3346"/>
    <cellStyle name="Normal 3 16 18" xfId="1252"/>
    <cellStyle name="Normal 3 16 18 2" xfId="3347"/>
    <cellStyle name="Normal 3 16 19" xfId="1253"/>
    <cellStyle name="Normal 3 16 19 2" xfId="3348"/>
    <cellStyle name="Normal 3 16 2" xfId="1254"/>
    <cellStyle name="Normal 3 16 2 2" xfId="3349"/>
    <cellStyle name="Normal 3 16 20" xfId="1255"/>
    <cellStyle name="Normal 3 16 20 2" xfId="3350"/>
    <cellStyle name="Normal 3 16 21" xfId="1256"/>
    <cellStyle name="Normal 3 16 21 2" xfId="3351"/>
    <cellStyle name="Normal 3 16 22" xfId="1257"/>
    <cellStyle name="Normal 3 16 22 2" xfId="3352"/>
    <cellStyle name="Normal 3 16 23" xfId="1258"/>
    <cellStyle name="Normal 3 16 23 2" xfId="3353"/>
    <cellStyle name="Normal 3 16 24" xfId="3354"/>
    <cellStyle name="Normal 3 16 3" xfId="1259"/>
    <cellStyle name="Normal 3 16 3 2" xfId="3355"/>
    <cellStyle name="Normal 3 16 4" xfId="1260"/>
    <cellStyle name="Normal 3 16 4 2" xfId="3356"/>
    <cellStyle name="Normal 3 16 5" xfId="1261"/>
    <cellStyle name="Normal 3 16 5 2" xfId="3357"/>
    <cellStyle name="Normal 3 16 6" xfId="1262"/>
    <cellStyle name="Normal 3 16 6 2" xfId="3358"/>
    <cellStyle name="Normal 3 16 7" xfId="1263"/>
    <cellStyle name="Normal 3 16 7 2" xfId="3359"/>
    <cellStyle name="Normal 3 16 8" xfId="1264"/>
    <cellStyle name="Normal 3 16 8 2" xfId="3360"/>
    <cellStyle name="Normal 3 16 9" xfId="1265"/>
    <cellStyle name="Normal 3 16 9 2" xfId="3361"/>
    <cellStyle name="Normal 3 17" xfId="1266"/>
    <cellStyle name="Normal 3 17 10" xfId="1267"/>
    <cellStyle name="Normal 3 17 10 2" xfId="3362"/>
    <cellStyle name="Normal 3 17 11" xfId="1268"/>
    <cellStyle name="Normal 3 17 11 2" xfId="3363"/>
    <cellStyle name="Normal 3 17 12" xfId="1269"/>
    <cellStyle name="Normal 3 17 12 2" xfId="3364"/>
    <cellStyle name="Normal 3 17 13" xfId="1270"/>
    <cellStyle name="Normal 3 17 13 2" xfId="3365"/>
    <cellStyle name="Normal 3 17 14" xfId="1271"/>
    <cellStyle name="Normal 3 17 14 2" xfId="3366"/>
    <cellStyle name="Normal 3 17 15" xfId="1272"/>
    <cellStyle name="Normal 3 17 15 2" xfId="3367"/>
    <cellStyle name="Normal 3 17 16" xfId="1273"/>
    <cellStyle name="Normal 3 17 16 2" xfId="3368"/>
    <cellStyle name="Normal 3 17 17" xfId="1274"/>
    <cellStyle name="Normal 3 17 17 2" xfId="3369"/>
    <cellStyle name="Normal 3 17 18" xfId="1275"/>
    <cellStyle name="Normal 3 17 18 2" xfId="3370"/>
    <cellStyle name="Normal 3 17 19" xfId="1276"/>
    <cellStyle name="Normal 3 17 19 2" xfId="3371"/>
    <cellStyle name="Normal 3 17 2" xfId="1277"/>
    <cellStyle name="Normal 3 17 2 2" xfId="3372"/>
    <cellStyle name="Normal 3 17 20" xfId="1278"/>
    <cellStyle name="Normal 3 17 20 2" xfId="3373"/>
    <cellStyle name="Normal 3 17 21" xfId="1279"/>
    <cellStyle name="Normal 3 17 21 2" xfId="3374"/>
    <cellStyle name="Normal 3 17 22" xfId="1280"/>
    <cellStyle name="Normal 3 17 22 2" xfId="3375"/>
    <cellStyle name="Normal 3 17 23" xfId="1281"/>
    <cellStyle name="Normal 3 17 23 2" xfId="3376"/>
    <cellStyle name="Normal 3 17 24" xfId="3377"/>
    <cellStyle name="Normal 3 17 3" xfId="1282"/>
    <cellStyle name="Normal 3 17 3 2" xfId="3378"/>
    <cellStyle name="Normal 3 17 4" xfId="1283"/>
    <cellStyle name="Normal 3 17 4 2" xfId="3379"/>
    <cellStyle name="Normal 3 17 5" xfId="1284"/>
    <cellStyle name="Normal 3 17 5 2" xfId="3380"/>
    <cellStyle name="Normal 3 17 6" xfId="1285"/>
    <cellStyle name="Normal 3 17 6 2" xfId="3381"/>
    <cellStyle name="Normal 3 17 7" xfId="1286"/>
    <cellStyle name="Normal 3 17 7 2" xfId="3382"/>
    <cellStyle name="Normal 3 17 8" xfId="1287"/>
    <cellStyle name="Normal 3 17 8 2" xfId="3383"/>
    <cellStyle name="Normal 3 17 9" xfId="1288"/>
    <cellStyle name="Normal 3 17 9 2" xfId="3384"/>
    <cellStyle name="Normal 3 18" xfId="1289"/>
    <cellStyle name="Normal 3 18 10" xfId="1290"/>
    <cellStyle name="Normal 3 18 10 2" xfId="3385"/>
    <cellStyle name="Normal 3 18 11" xfId="1291"/>
    <cellStyle name="Normal 3 18 11 2" xfId="3386"/>
    <cellStyle name="Normal 3 18 12" xfId="1292"/>
    <cellStyle name="Normal 3 18 12 2" xfId="3387"/>
    <cellStyle name="Normal 3 18 13" xfId="1293"/>
    <cellStyle name="Normal 3 18 13 2" xfId="3388"/>
    <cellStyle name="Normal 3 18 14" xfId="1294"/>
    <cellStyle name="Normal 3 18 14 2" xfId="3389"/>
    <cellStyle name="Normal 3 18 15" xfId="1295"/>
    <cellStyle name="Normal 3 18 15 2" xfId="3390"/>
    <cellStyle name="Normal 3 18 16" xfId="1296"/>
    <cellStyle name="Normal 3 18 16 2" xfId="3391"/>
    <cellStyle name="Normal 3 18 17" xfId="1297"/>
    <cellStyle name="Normal 3 18 17 2" xfId="3392"/>
    <cellStyle name="Normal 3 18 18" xfId="1298"/>
    <cellStyle name="Normal 3 18 18 2" xfId="3393"/>
    <cellStyle name="Normal 3 18 19" xfId="1299"/>
    <cellStyle name="Normal 3 18 19 2" xfId="3394"/>
    <cellStyle name="Normal 3 18 2" xfId="1300"/>
    <cellStyle name="Normal 3 18 2 2" xfId="3395"/>
    <cellStyle name="Normal 3 18 20" xfId="1301"/>
    <cellStyle name="Normal 3 18 20 2" xfId="3396"/>
    <cellStyle name="Normal 3 18 21" xfId="1302"/>
    <cellStyle name="Normal 3 18 21 2" xfId="3397"/>
    <cellStyle name="Normal 3 18 22" xfId="1303"/>
    <cellStyle name="Normal 3 18 22 2" xfId="3398"/>
    <cellStyle name="Normal 3 18 23" xfId="1304"/>
    <cellStyle name="Normal 3 18 23 2" xfId="3399"/>
    <cellStyle name="Normal 3 18 24" xfId="3400"/>
    <cellStyle name="Normal 3 18 3" xfId="1305"/>
    <cellStyle name="Normal 3 18 3 2" xfId="3401"/>
    <cellStyle name="Normal 3 18 4" xfId="1306"/>
    <cellStyle name="Normal 3 18 4 2" xfId="3402"/>
    <cellStyle name="Normal 3 18 5" xfId="1307"/>
    <cellStyle name="Normal 3 18 5 2" xfId="3403"/>
    <cellStyle name="Normal 3 18 6" xfId="1308"/>
    <cellStyle name="Normal 3 18 6 2" xfId="3404"/>
    <cellStyle name="Normal 3 18 7" xfId="1309"/>
    <cellStyle name="Normal 3 18 7 2" xfId="3405"/>
    <cellStyle name="Normal 3 18 8" xfId="1310"/>
    <cellStyle name="Normal 3 18 8 2" xfId="3406"/>
    <cellStyle name="Normal 3 18 9" xfId="1311"/>
    <cellStyle name="Normal 3 18 9 2" xfId="3407"/>
    <cellStyle name="Normal 3 19" xfId="1312"/>
    <cellStyle name="Normal 3 19 10" xfId="1313"/>
    <cellStyle name="Normal 3 19 10 2" xfId="3408"/>
    <cellStyle name="Normal 3 19 11" xfId="1314"/>
    <cellStyle name="Normal 3 19 11 2" xfId="3409"/>
    <cellStyle name="Normal 3 19 12" xfId="1315"/>
    <cellStyle name="Normal 3 19 12 2" xfId="3410"/>
    <cellStyle name="Normal 3 19 13" xfId="1316"/>
    <cellStyle name="Normal 3 19 13 2" xfId="3411"/>
    <cellStyle name="Normal 3 19 14" xfId="1317"/>
    <cellStyle name="Normal 3 19 14 2" xfId="3412"/>
    <cellStyle name="Normal 3 19 15" xfId="1318"/>
    <cellStyle name="Normal 3 19 15 2" xfId="3413"/>
    <cellStyle name="Normal 3 19 16" xfId="1319"/>
    <cellStyle name="Normal 3 19 16 2" xfId="3414"/>
    <cellStyle name="Normal 3 19 17" xfId="1320"/>
    <cellStyle name="Normal 3 19 17 2" xfId="3415"/>
    <cellStyle name="Normal 3 19 18" xfId="1321"/>
    <cellStyle name="Normal 3 19 18 2" xfId="3416"/>
    <cellStyle name="Normal 3 19 19" xfId="1322"/>
    <cellStyle name="Normal 3 19 19 2" xfId="3417"/>
    <cellStyle name="Normal 3 19 2" xfId="1323"/>
    <cellStyle name="Normal 3 19 2 2" xfId="3418"/>
    <cellStyle name="Normal 3 19 20" xfId="1324"/>
    <cellStyle name="Normal 3 19 20 2" xfId="3419"/>
    <cellStyle name="Normal 3 19 21" xfId="1325"/>
    <cellStyle name="Normal 3 19 21 2" xfId="3420"/>
    <cellStyle name="Normal 3 19 22" xfId="1326"/>
    <cellStyle name="Normal 3 19 22 2" xfId="3421"/>
    <cellStyle name="Normal 3 19 23" xfId="1327"/>
    <cellStyle name="Normal 3 19 23 2" xfId="3422"/>
    <cellStyle name="Normal 3 19 24" xfId="3423"/>
    <cellStyle name="Normal 3 19 3" xfId="1328"/>
    <cellStyle name="Normal 3 19 3 2" xfId="3424"/>
    <cellStyle name="Normal 3 19 4" xfId="1329"/>
    <cellStyle name="Normal 3 19 4 2" xfId="3425"/>
    <cellStyle name="Normal 3 19 5" xfId="1330"/>
    <cellStyle name="Normal 3 19 5 2" xfId="3426"/>
    <cellStyle name="Normal 3 19 6" xfId="1331"/>
    <cellStyle name="Normal 3 19 6 2" xfId="3427"/>
    <cellStyle name="Normal 3 19 7" xfId="1332"/>
    <cellStyle name="Normal 3 19 7 2" xfId="3428"/>
    <cellStyle name="Normal 3 19 8" xfId="1333"/>
    <cellStyle name="Normal 3 19 8 2" xfId="3429"/>
    <cellStyle name="Normal 3 19 9" xfId="1334"/>
    <cellStyle name="Normal 3 19 9 2" xfId="3430"/>
    <cellStyle name="Normal 3 2" xfId="1335"/>
    <cellStyle name="Normal 3 2 10" xfId="1336"/>
    <cellStyle name="Normal 3 2 10 2" xfId="3431"/>
    <cellStyle name="Normal 3 2 11" xfId="1337"/>
    <cellStyle name="Normal 3 2 11 2" xfId="3432"/>
    <cellStyle name="Normal 3 2 12" xfId="1338"/>
    <cellStyle name="Normal 3 2 12 2" xfId="3433"/>
    <cellStyle name="Normal 3 2 13" xfId="1339"/>
    <cellStyle name="Normal 3 2 13 2" xfId="3434"/>
    <cellStyle name="Normal 3 2 14" xfId="1340"/>
    <cellStyle name="Normal 3 2 14 2" xfId="3435"/>
    <cellStyle name="Normal 3 2 15" xfId="1341"/>
    <cellStyle name="Normal 3 2 15 2" xfId="3436"/>
    <cellStyle name="Normal 3 2 16" xfId="1342"/>
    <cellStyle name="Normal 3 2 16 2" xfId="3437"/>
    <cellStyle name="Normal 3 2 17" xfId="1343"/>
    <cellStyle name="Normal 3 2 17 2" xfId="3438"/>
    <cellStyle name="Normal 3 2 18" xfId="1344"/>
    <cellStyle name="Normal 3 2 18 2" xfId="3439"/>
    <cellStyle name="Normal 3 2 19" xfId="1345"/>
    <cellStyle name="Normal 3 2 19 2" xfId="3440"/>
    <cellStyle name="Normal 3 2 2" xfId="1346"/>
    <cellStyle name="Normal 3 2 2 10" xfId="1347"/>
    <cellStyle name="Normal 3 2 2 10 2" xfId="3441"/>
    <cellStyle name="Normal 3 2 2 11" xfId="1348"/>
    <cellStyle name="Normal 3 2 2 11 2" xfId="3442"/>
    <cellStyle name="Normal 3 2 2 12" xfId="1349"/>
    <cellStyle name="Normal 3 2 2 12 2" xfId="3443"/>
    <cellStyle name="Normal 3 2 2 13" xfId="1350"/>
    <cellStyle name="Normal 3 2 2 13 2" xfId="3444"/>
    <cellStyle name="Normal 3 2 2 14" xfId="1351"/>
    <cellStyle name="Normal 3 2 2 14 2" xfId="3445"/>
    <cellStyle name="Normal 3 2 2 15" xfId="1352"/>
    <cellStyle name="Normal 3 2 2 15 2" xfId="3446"/>
    <cellStyle name="Normal 3 2 2 16" xfId="1353"/>
    <cellStyle name="Normal 3 2 2 16 2" xfId="3447"/>
    <cellStyle name="Normal 3 2 2 17" xfId="1354"/>
    <cellStyle name="Normal 3 2 2 17 2" xfId="3448"/>
    <cellStyle name="Normal 3 2 2 18" xfId="1355"/>
    <cellStyle name="Normal 3 2 2 18 2" xfId="3449"/>
    <cellStyle name="Normal 3 2 2 19" xfId="1356"/>
    <cellStyle name="Normal 3 2 2 19 2" xfId="3450"/>
    <cellStyle name="Normal 3 2 2 2" xfId="1357"/>
    <cellStyle name="Normal 3 2 2 2 2" xfId="3451"/>
    <cellStyle name="Normal 3 2 2 20" xfId="1358"/>
    <cellStyle name="Normal 3 2 2 20 2" xfId="3452"/>
    <cellStyle name="Normal 3 2 2 21" xfId="1359"/>
    <cellStyle name="Normal 3 2 2 21 2" xfId="3453"/>
    <cellStyle name="Normal 3 2 2 22" xfId="1360"/>
    <cellStyle name="Normal 3 2 2 22 2" xfId="3454"/>
    <cellStyle name="Normal 3 2 2 23" xfId="1361"/>
    <cellStyle name="Normal 3 2 2 23 2" xfId="3455"/>
    <cellStyle name="Normal 3 2 2 24" xfId="1362"/>
    <cellStyle name="Normal 3 2 2 24 2" xfId="3456"/>
    <cellStyle name="Normal 3 2 2 25" xfId="1363"/>
    <cellStyle name="Normal 3 2 2 25 2" xfId="3457"/>
    <cellStyle name="Normal 3 2 2 26" xfId="1364"/>
    <cellStyle name="Normal 3 2 2 26 2" xfId="3458"/>
    <cellStyle name="Normal 3 2 2 27" xfId="1365"/>
    <cellStyle name="Normal 3 2 2 27 2" xfId="3459"/>
    <cellStyle name="Normal 3 2 2 28" xfId="1366"/>
    <cellStyle name="Normal 3 2 2 28 2" xfId="3460"/>
    <cellStyle name="Normal 3 2 2 29" xfId="1367"/>
    <cellStyle name="Normal 3 2 2 29 2" xfId="3461"/>
    <cellStyle name="Normal 3 2 2 3" xfId="1368"/>
    <cellStyle name="Normal 3 2 2 3 2" xfId="3462"/>
    <cellStyle name="Normal 3 2 2 30" xfId="1369"/>
    <cellStyle name="Normal 3 2 2 30 2" xfId="3463"/>
    <cellStyle name="Normal 3 2 2 31" xfId="1370"/>
    <cellStyle name="Normal 3 2 2 31 2" xfId="3464"/>
    <cellStyle name="Normal 3 2 2 32" xfId="1371"/>
    <cellStyle name="Normal 3 2 2 32 2" xfId="3465"/>
    <cellStyle name="Normal 3 2 2 33" xfId="1372"/>
    <cellStyle name="Normal 3 2 2 33 2" xfId="3466"/>
    <cellStyle name="Normal 3 2 2 34" xfId="3467"/>
    <cellStyle name="Normal 3 2 2 4" xfId="1373"/>
    <cellStyle name="Normal 3 2 2 4 2" xfId="3468"/>
    <cellStyle name="Normal 3 2 2 5" xfId="1374"/>
    <cellStyle name="Normal 3 2 2 5 2" xfId="3469"/>
    <cellStyle name="Normal 3 2 2 6" xfId="1375"/>
    <cellStyle name="Normal 3 2 2 6 2" xfId="3470"/>
    <cellStyle name="Normal 3 2 2 7" xfId="1376"/>
    <cellStyle name="Normal 3 2 2 7 2" xfId="3471"/>
    <cellStyle name="Normal 3 2 2 8" xfId="1377"/>
    <cellStyle name="Normal 3 2 2 8 2" xfId="3472"/>
    <cellStyle name="Normal 3 2 2 9" xfId="1378"/>
    <cellStyle name="Normal 3 2 2 9 2" xfId="3473"/>
    <cellStyle name="Normal 3 2 20" xfId="1379"/>
    <cellStyle name="Normal 3 2 20 2" xfId="3474"/>
    <cellStyle name="Normal 3 2 21" xfId="1380"/>
    <cellStyle name="Normal 3 2 21 2" xfId="3475"/>
    <cellStyle name="Normal 3 2 22" xfId="1381"/>
    <cellStyle name="Normal 3 2 22 2" xfId="3476"/>
    <cellStyle name="Normal 3 2 23" xfId="1382"/>
    <cellStyle name="Normal 3 2 23 2" xfId="3477"/>
    <cellStyle name="Normal 3 2 24" xfId="1383"/>
    <cellStyle name="Normal 3 2 24 2" xfId="3478"/>
    <cellStyle name="Normal 3 2 25" xfId="1384"/>
    <cellStyle name="Normal 3 2 25 2" xfId="3479"/>
    <cellStyle name="Normal 3 2 26" xfId="1385"/>
    <cellStyle name="Normal 3 2 26 2" xfId="3480"/>
    <cellStyle name="Normal 3 2 27" xfId="1386"/>
    <cellStyle name="Normal 3 2 27 2" xfId="3481"/>
    <cellStyle name="Normal 3 2 28" xfId="1387"/>
    <cellStyle name="Normal 3 2 28 2" xfId="3482"/>
    <cellStyle name="Normal 3 2 29" xfId="1388"/>
    <cellStyle name="Normal 3 2 29 2" xfId="3483"/>
    <cellStyle name="Normal 3 2 3" xfId="1389"/>
    <cellStyle name="Normal 3 2 3 2" xfId="3484"/>
    <cellStyle name="Normal 3 2 30" xfId="1390"/>
    <cellStyle name="Normal 3 2 30 2" xfId="3485"/>
    <cellStyle name="Normal 3 2 31" xfId="1391"/>
    <cellStyle name="Normal 3 2 31 2" xfId="3486"/>
    <cellStyle name="Normal 3 2 32" xfId="1392"/>
    <cellStyle name="Normal 3 2 32 2" xfId="3487"/>
    <cellStyle name="Normal 3 2 33" xfId="1393"/>
    <cellStyle name="Normal 3 2 33 2" xfId="3488"/>
    <cellStyle name="Normal 3 2 34" xfId="1394"/>
    <cellStyle name="Normal 3 2 34 2" xfId="3489"/>
    <cellStyle name="Normal 3 2 35" xfId="1395"/>
    <cellStyle name="Normal 3 2 35 2" xfId="3490"/>
    <cellStyle name="Normal 3 2 36" xfId="1396"/>
    <cellStyle name="Normal 3 2 36 2" xfId="3491"/>
    <cellStyle name="Normal 3 2 37" xfId="1397"/>
    <cellStyle name="Normal 3 2 37 2" xfId="3492"/>
    <cellStyle name="Normal 3 2 38" xfId="1398"/>
    <cellStyle name="Normal 3 2 38 2" xfId="3493"/>
    <cellStyle name="Normal 3 2 39" xfId="1399"/>
    <cellStyle name="Normal 3 2 39 2" xfId="3494"/>
    <cellStyle name="Normal 3 2 4" xfId="1400"/>
    <cellStyle name="Normal 3 2 4 2" xfId="3495"/>
    <cellStyle name="Normal 3 2 40" xfId="1401"/>
    <cellStyle name="Normal 3 2 40 2" xfId="3496"/>
    <cellStyle name="Normal 3 2 41" xfId="1402"/>
    <cellStyle name="Normal 3 2 41 2" xfId="3497"/>
    <cellStyle name="Normal 3 2 42" xfId="1403"/>
    <cellStyle name="Normal 3 2 42 2" xfId="3498"/>
    <cellStyle name="Normal 3 2 43" xfId="1404"/>
    <cellStyle name="Normal 3 2 43 2" xfId="3499"/>
    <cellStyle name="Normal 3 2 44" xfId="1405"/>
    <cellStyle name="Normal 3 2 44 2" xfId="3500"/>
    <cellStyle name="Normal 3 2 45" xfId="1406"/>
    <cellStyle name="Normal 3 2 45 2" xfId="3501"/>
    <cellStyle name="Normal 3 2 46" xfId="1407"/>
    <cellStyle name="Normal 3 2 46 2" xfId="3502"/>
    <cellStyle name="Normal 3 2 47" xfId="1408"/>
    <cellStyle name="Normal 3 2 47 2" xfId="3503"/>
    <cellStyle name="Normal 3 2 48" xfId="1409"/>
    <cellStyle name="Normal 3 2 48 2" xfId="3504"/>
    <cellStyle name="Normal 3 2 49" xfId="1410"/>
    <cellStyle name="Normal 3 2 49 2" xfId="3505"/>
    <cellStyle name="Normal 3 2 5" xfId="1411"/>
    <cellStyle name="Normal 3 2 5 2" xfId="3506"/>
    <cellStyle name="Normal 3 2 50" xfId="1412"/>
    <cellStyle name="Normal 3 2 50 2" xfId="3507"/>
    <cellStyle name="Normal 3 2 51" xfId="1413"/>
    <cellStyle name="Normal 3 2 51 2" xfId="3508"/>
    <cellStyle name="Normal 3 2 52" xfId="1414"/>
    <cellStyle name="Normal 3 2 52 2" xfId="3509"/>
    <cellStyle name="Normal 3 2 53" xfId="1415"/>
    <cellStyle name="Normal 3 2 53 2" xfId="3510"/>
    <cellStyle name="Normal 3 2 54" xfId="1416"/>
    <cellStyle name="Normal 3 2 54 2" xfId="3511"/>
    <cellStyle name="Normal 3 2 55" xfId="1417"/>
    <cellStyle name="Normal 3 2 55 2" xfId="3512"/>
    <cellStyle name="Normal 3 2 56" xfId="3513"/>
    <cellStyle name="Normal 3 2 6" xfId="1418"/>
    <cellStyle name="Normal 3 2 6 2" xfId="3514"/>
    <cellStyle name="Normal 3 2 7" xfId="1419"/>
    <cellStyle name="Normal 3 2 7 2" xfId="3515"/>
    <cellStyle name="Normal 3 2 8" xfId="1420"/>
    <cellStyle name="Normal 3 2 8 2" xfId="3516"/>
    <cellStyle name="Normal 3 2 9" xfId="1421"/>
    <cellStyle name="Normal 3 2 9 2" xfId="3517"/>
    <cellStyle name="Normal 3 20" xfId="1422"/>
    <cellStyle name="Normal 3 20 10" xfId="1423"/>
    <cellStyle name="Normal 3 20 10 2" xfId="3518"/>
    <cellStyle name="Normal 3 20 11" xfId="1424"/>
    <cellStyle name="Normal 3 20 11 2" xfId="3519"/>
    <cellStyle name="Normal 3 20 12" xfId="1425"/>
    <cellStyle name="Normal 3 20 12 2" xfId="3520"/>
    <cellStyle name="Normal 3 20 13" xfId="1426"/>
    <cellStyle name="Normal 3 20 13 2" xfId="3521"/>
    <cellStyle name="Normal 3 20 14" xfId="1427"/>
    <cellStyle name="Normal 3 20 14 2" xfId="3522"/>
    <cellStyle name="Normal 3 20 15" xfId="1428"/>
    <cellStyle name="Normal 3 20 15 2" xfId="3523"/>
    <cellStyle name="Normal 3 20 16" xfId="1429"/>
    <cellStyle name="Normal 3 20 16 2" xfId="3524"/>
    <cellStyle name="Normal 3 20 17" xfId="1430"/>
    <cellStyle name="Normal 3 20 17 2" xfId="3525"/>
    <cellStyle name="Normal 3 20 18" xfId="1431"/>
    <cellStyle name="Normal 3 20 18 2" xfId="3526"/>
    <cellStyle name="Normal 3 20 19" xfId="1432"/>
    <cellStyle name="Normal 3 20 19 2" xfId="3527"/>
    <cellStyle name="Normal 3 20 2" xfId="1433"/>
    <cellStyle name="Normal 3 20 2 2" xfId="3528"/>
    <cellStyle name="Normal 3 20 20" xfId="1434"/>
    <cellStyle name="Normal 3 20 20 2" xfId="3529"/>
    <cellStyle name="Normal 3 20 21" xfId="1435"/>
    <cellStyle name="Normal 3 20 21 2" xfId="3530"/>
    <cellStyle name="Normal 3 20 22" xfId="1436"/>
    <cellStyle name="Normal 3 20 22 2" xfId="3531"/>
    <cellStyle name="Normal 3 20 23" xfId="1437"/>
    <cellStyle name="Normal 3 20 23 2" xfId="3532"/>
    <cellStyle name="Normal 3 20 24" xfId="3533"/>
    <cellStyle name="Normal 3 20 3" xfId="1438"/>
    <cellStyle name="Normal 3 20 3 2" xfId="3534"/>
    <cellStyle name="Normal 3 20 4" xfId="1439"/>
    <cellStyle name="Normal 3 20 4 2" xfId="3535"/>
    <cellStyle name="Normal 3 20 5" xfId="1440"/>
    <cellStyle name="Normal 3 20 5 2" xfId="3536"/>
    <cellStyle name="Normal 3 20 6" xfId="1441"/>
    <cellStyle name="Normal 3 20 6 2" xfId="3537"/>
    <cellStyle name="Normal 3 20 7" xfId="1442"/>
    <cellStyle name="Normal 3 20 7 2" xfId="3538"/>
    <cellStyle name="Normal 3 20 8" xfId="1443"/>
    <cellStyle name="Normal 3 20 8 2" xfId="3539"/>
    <cellStyle name="Normal 3 20 9" xfId="1444"/>
    <cellStyle name="Normal 3 20 9 2" xfId="3540"/>
    <cellStyle name="Normal 3 21" xfId="1445"/>
    <cellStyle name="Normal 3 21 10" xfId="1446"/>
    <cellStyle name="Normal 3 21 10 2" xfId="3541"/>
    <cellStyle name="Normal 3 21 11" xfId="1447"/>
    <cellStyle name="Normal 3 21 11 2" xfId="3542"/>
    <cellStyle name="Normal 3 21 12" xfId="1448"/>
    <cellStyle name="Normal 3 21 12 2" xfId="3543"/>
    <cellStyle name="Normal 3 21 13" xfId="1449"/>
    <cellStyle name="Normal 3 21 13 2" xfId="3544"/>
    <cellStyle name="Normal 3 21 14" xfId="1450"/>
    <cellStyle name="Normal 3 21 14 2" xfId="3545"/>
    <cellStyle name="Normal 3 21 15" xfId="1451"/>
    <cellStyle name="Normal 3 21 15 2" xfId="3546"/>
    <cellStyle name="Normal 3 21 16" xfId="1452"/>
    <cellStyle name="Normal 3 21 16 2" xfId="3547"/>
    <cellStyle name="Normal 3 21 17" xfId="1453"/>
    <cellStyle name="Normal 3 21 17 2" xfId="3548"/>
    <cellStyle name="Normal 3 21 18" xfId="1454"/>
    <cellStyle name="Normal 3 21 18 2" xfId="3549"/>
    <cellStyle name="Normal 3 21 19" xfId="1455"/>
    <cellStyle name="Normal 3 21 19 2" xfId="3550"/>
    <cellStyle name="Normal 3 21 2" xfId="1456"/>
    <cellStyle name="Normal 3 21 2 2" xfId="3551"/>
    <cellStyle name="Normal 3 21 20" xfId="1457"/>
    <cellStyle name="Normal 3 21 20 2" xfId="3552"/>
    <cellStyle name="Normal 3 21 21" xfId="1458"/>
    <cellStyle name="Normal 3 21 21 2" xfId="3553"/>
    <cellStyle name="Normal 3 21 22" xfId="1459"/>
    <cellStyle name="Normal 3 21 22 2" xfId="3554"/>
    <cellStyle name="Normal 3 21 23" xfId="1460"/>
    <cellStyle name="Normal 3 21 23 2" xfId="3555"/>
    <cellStyle name="Normal 3 21 24" xfId="3556"/>
    <cellStyle name="Normal 3 21 3" xfId="1461"/>
    <cellStyle name="Normal 3 21 3 2" xfId="3557"/>
    <cellStyle name="Normal 3 21 4" xfId="1462"/>
    <cellStyle name="Normal 3 21 4 2" xfId="3558"/>
    <cellStyle name="Normal 3 21 5" xfId="1463"/>
    <cellStyle name="Normal 3 21 5 2" xfId="3559"/>
    <cellStyle name="Normal 3 21 6" xfId="1464"/>
    <cellStyle name="Normal 3 21 6 2" xfId="3560"/>
    <cellStyle name="Normal 3 21 7" xfId="1465"/>
    <cellStyle name="Normal 3 21 7 2" xfId="3561"/>
    <cellStyle name="Normal 3 21 8" xfId="1466"/>
    <cellStyle name="Normal 3 21 8 2" xfId="3562"/>
    <cellStyle name="Normal 3 21 9" xfId="1467"/>
    <cellStyle name="Normal 3 21 9 2" xfId="3563"/>
    <cellStyle name="Normal 3 22" xfId="1468"/>
    <cellStyle name="Normal 3 22 10" xfId="1469"/>
    <cellStyle name="Normal 3 22 10 2" xfId="3564"/>
    <cellStyle name="Normal 3 22 11" xfId="1470"/>
    <cellStyle name="Normal 3 22 11 2" xfId="3565"/>
    <cellStyle name="Normal 3 22 12" xfId="1471"/>
    <cellStyle name="Normal 3 22 12 2" xfId="3566"/>
    <cellStyle name="Normal 3 22 13" xfId="1472"/>
    <cellStyle name="Normal 3 22 13 2" xfId="3567"/>
    <cellStyle name="Normal 3 22 14" xfId="1473"/>
    <cellStyle name="Normal 3 22 14 2" xfId="3568"/>
    <cellStyle name="Normal 3 22 15" xfId="1474"/>
    <cellStyle name="Normal 3 22 15 2" xfId="3569"/>
    <cellStyle name="Normal 3 22 16" xfId="1475"/>
    <cellStyle name="Normal 3 22 16 2" xfId="3570"/>
    <cellStyle name="Normal 3 22 17" xfId="1476"/>
    <cellStyle name="Normal 3 22 17 2" xfId="3571"/>
    <cellStyle name="Normal 3 22 18" xfId="1477"/>
    <cellStyle name="Normal 3 22 18 2" xfId="3572"/>
    <cellStyle name="Normal 3 22 19" xfId="1478"/>
    <cellStyle name="Normal 3 22 19 2" xfId="3573"/>
    <cellStyle name="Normal 3 22 2" xfId="1479"/>
    <cellStyle name="Normal 3 22 2 2" xfId="3574"/>
    <cellStyle name="Normal 3 22 20" xfId="1480"/>
    <cellStyle name="Normal 3 22 20 2" xfId="3575"/>
    <cellStyle name="Normal 3 22 21" xfId="1481"/>
    <cellStyle name="Normal 3 22 21 2" xfId="3576"/>
    <cellStyle name="Normal 3 22 22" xfId="1482"/>
    <cellStyle name="Normal 3 22 22 2" xfId="3577"/>
    <cellStyle name="Normal 3 22 23" xfId="1483"/>
    <cellStyle name="Normal 3 22 23 2" xfId="3578"/>
    <cellStyle name="Normal 3 22 24" xfId="3579"/>
    <cellStyle name="Normal 3 22 3" xfId="1484"/>
    <cellStyle name="Normal 3 22 3 2" xfId="3580"/>
    <cellStyle name="Normal 3 22 4" xfId="1485"/>
    <cellStyle name="Normal 3 22 4 2" xfId="3581"/>
    <cellStyle name="Normal 3 22 5" xfId="1486"/>
    <cellStyle name="Normal 3 22 5 2" xfId="3582"/>
    <cellStyle name="Normal 3 22 6" xfId="1487"/>
    <cellStyle name="Normal 3 22 6 2" xfId="3583"/>
    <cellStyle name="Normal 3 22 7" xfId="1488"/>
    <cellStyle name="Normal 3 22 7 2" xfId="3584"/>
    <cellStyle name="Normal 3 22 8" xfId="1489"/>
    <cellStyle name="Normal 3 22 8 2" xfId="3585"/>
    <cellStyle name="Normal 3 22 9" xfId="1490"/>
    <cellStyle name="Normal 3 22 9 2" xfId="3586"/>
    <cellStyle name="Normal 3 23" xfId="1491"/>
    <cellStyle name="Normal 3 23 10" xfId="1492"/>
    <cellStyle name="Normal 3 23 10 2" xfId="3587"/>
    <cellStyle name="Normal 3 23 11" xfId="1493"/>
    <cellStyle name="Normal 3 23 11 2" xfId="3588"/>
    <cellStyle name="Normal 3 23 12" xfId="1494"/>
    <cellStyle name="Normal 3 23 12 2" xfId="3589"/>
    <cellStyle name="Normal 3 23 13" xfId="1495"/>
    <cellStyle name="Normal 3 23 13 2" xfId="3590"/>
    <cellStyle name="Normal 3 23 14" xfId="1496"/>
    <cellStyle name="Normal 3 23 14 2" xfId="3591"/>
    <cellStyle name="Normal 3 23 15" xfId="1497"/>
    <cellStyle name="Normal 3 23 15 2" xfId="3592"/>
    <cellStyle name="Normal 3 23 16" xfId="1498"/>
    <cellStyle name="Normal 3 23 16 2" xfId="3593"/>
    <cellStyle name="Normal 3 23 17" xfId="1499"/>
    <cellStyle name="Normal 3 23 17 2" xfId="3594"/>
    <cellStyle name="Normal 3 23 18" xfId="1500"/>
    <cellStyle name="Normal 3 23 18 2" xfId="3595"/>
    <cellStyle name="Normal 3 23 19" xfId="1501"/>
    <cellStyle name="Normal 3 23 19 2" xfId="3596"/>
    <cellStyle name="Normal 3 23 2" xfId="1502"/>
    <cellStyle name="Normal 3 23 2 2" xfId="3597"/>
    <cellStyle name="Normal 3 23 20" xfId="1503"/>
    <cellStyle name="Normal 3 23 20 2" xfId="3598"/>
    <cellStyle name="Normal 3 23 21" xfId="1504"/>
    <cellStyle name="Normal 3 23 21 2" xfId="3599"/>
    <cellStyle name="Normal 3 23 22" xfId="1505"/>
    <cellStyle name="Normal 3 23 22 2" xfId="3600"/>
    <cellStyle name="Normal 3 23 23" xfId="1506"/>
    <cellStyle name="Normal 3 23 23 2" xfId="3601"/>
    <cellStyle name="Normal 3 23 24" xfId="3602"/>
    <cellStyle name="Normal 3 23 3" xfId="1507"/>
    <cellStyle name="Normal 3 23 3 2" xfId="3603"/>
    <cellStyle name="Normal 3 23 4" xfId="1508"/>
    <cellStyle name="Normal 3 23 4 2" xfId="3604"/>
    <cellStyle name="Normal 3 23 5" xfId="1509"/>
    <cellStyle name="Normal 3 23 5 2" xfId="3605"/>
    <cellStyle name="Normal 3 23 6" xfId="1510"/>
    <cellStyle name="Normal 3 23 6 2" xfId="3606"/>
    <cellStyle name="Normal 3 23 7" xfId="1511"/>
    <cellStyle name="Normal 3 23 7 2" xfId="3607"/>
    <cellStyle name="Normal 3 23 8" xfId="1512"/>
    <cellStyle name="Normal 3 23 8 2" xfId="3608"/>
    <cellStyle name="Normal 3 23 9" xfId="1513"/>
    <cellStyle name="Normal 3 23 9 2" xfId="3609"/>
    <cellStyle name="Normal 3 24" xfId="1514"/>
    <cellStyle name="Normal 3 24 10" xfId="1515"/>
    <cellStyle name="Normal 3 24 10 2" xfId="3610"/>
    <cellStyle name="Normal 3 24 11" xfId="1516"/>
    <cellStyle name="Normal 3 24 11 2" xfId="3611"/>
    <cellStyle name="Normal 3 24 12" xfId="1517"/>
    <cellStyle name="Normal 3 24 12 2" xfId="3612"/>
    <cellStyle name="Normal 3 24 13" xfId="1518"/>
    <cellStyle name="Normal 3 24 13 2" xfId="3613"/>
    <cellStyle name="Normal 3 24 14" xfId="1519"/>
    <cellStyle name="Normal 3 24 14 2" xfId="3614"/>
    <cellStyle name="Normal 3 24 15" xfId="1520"/>
    <cellStyle name="Normal 3 24 15 2" xfId="3615"/>
    <cellStyle name="Normal 3 24 16" xfId="1521"/>
    <cellStyle name="Normal 3 24 16 2" xfId="3616"/>
    <cellStyle name="Normal 3 24 17" xfId="1522"/>
    <cellStyle name="Normal 3 24 17 2" xfId="3617"/>
    <cellStyle name="Normal 3 24 18" xfId="1523"/>
    <cellStyle name="Normal 3 24 18 2" xfId="3618"/>
    <cellStyle name="Normal 3 24 19" xfId="1524"/>
    <cellStyle name="Normal 3 24 19 2" xfId="3619"/>
    <cellStyle name="Normal 3 24 2" xfId="1525"/>
    <cellStyle name="Normal 3 24 2 2" xfId="3620"/>
    <cellStyle name="Normal 3 24 20" xfId="1526"/>
    <cellStyle name="Normal 3 24 20 2" xfId="3621"/>
    <cellStyle name="Normal 3 24 21" xfId="1527"/>
    <cellStyle name="Normal 3 24 21 2" xfId="3622"/>
    <cellStyle name="Normal 3 24 22" xfId="1528"/>
    <cellStyle name="Normal 3 24 22 2" xfId="3623"/>
    <cellStyle name="Normal 3 24 23" xfId="1529"/>
    <cellStyle name="Normal 3 24 23 2" xfId="3624"/>
    <cellStyle name="Normal 3 24 24" xfId="3625"/>
    <cellStyle name="Normal 3 24 3" xfId="1530"/>
    <cellStyle name="Normal 3 24 3 2" xfId="3626"/>
    <cellStyle name="Normal 3 24 4" xfId="1531"/>
    <cellStyle name="Normal 3 24 4 2" xfId="3627"/>
    <cellStyle name="Normal 3 24 5" xfId="1532"/>
    <cellStyle name="Normal 3 24 5 2" xfId="3628"/>
    <cellStyle name="Normal 3 24 6" xfId="1533"/>
    <cellStyle name="Normal 3 24 6 2" xfId="3629"/>
    <cellStyle name="Normal 3 24 7" xfId="1534"/>
    <cellStyle name="Normal 3 24 7 2" xfId="3630"/>
    <cellStyle name="Normal 3 24 8" xfId="1535"/>
    <cellStyle name="Normal 3 24 8 2" xfId="3631"/>
    <cellStyle name="Normal 3 24 9" xfId="1536"/>
    <cellStyle name="Normal 3 24 9 2" xfId="3632"/>
    <cellStyle name="Normal 3 25" xfId="1537"/>
    <cellStyle name="Normal 3 25 10" xfId="1538"/>
    <cellStyle name="Normal 3 25 10 2" xfId="3633"/>
    <cellStyle name="Normal 3 25 11" xfId="1539"/>
    <cellStyle name="Normal 3 25 11 2" xfId="3634"/>
    <cellStyle name="Normal 3 25 12" xfId="1540"/>
    <cellStyle name="Normal 3 25 12 2" xfId="3635"/>
    <cellStyle name="Normal 3 25 13" xfId="1541"/>
    <cellStyle name="Normal 3 25 13 2" xfId="3636"/>
    <cellStyle name="Normal 3 25 14" xfId="1542"/>
    <cellStyle name="Normal 3 25 14 2" xfId="3637"/>
    <cellStyle name="Normal 3 25 15" xfId="1543"/>
    <cellStyle name="Normal 3 25 15 2" xfId="3638"/>
    <cellStyle name="Normal 3 25 16" xfId="1544"/>
    <cellStyle name="Normal 3 25 16 2" xfId="3639"/>
    <cellStyle name="Normal 3 25 17" xfId="1545"/>
    <cellStyle name="Normal 3 25 17 2" xfId="3640"/>
    <cellStyle name="Normal 3 25 18" xfId="1546"/>
    <cellStyle name="Normal 3 25 18 2" xfId="3641"/>
    <cellStyle name="Normal 3 25 19" xfId="1547"/>
    <cellStyle name="Normal 3 25 19 2" xfId="3642"/>
    <cellStyle name="Normal 3 25 2" xfId="1548"/>
    <cellStyle name="Normal 3 25 2 2" xfId="3643"/>
    <cellStyle name="Normal 3 25 20" xfId="1549"/>
    <cellStyle name="Normal 3 25 20 2" xfId="3644"/>
    <cellStyle name="Normal 3 25 21" xfId="1550"/>
    <cellStyle name="Normal 3 25 21 2" xfId="3645"/>
    <cellStyle name="Normal 3 25 22" xfId="1551"/>
    <cellStyle name="Normal 3 25 22 2" xfId="3646"/>
    <cellStyle name="Normal 3 25 23" xfId="1552"/>
    <cellStyle name="Normal 3 25 23 2" xfId="3647"/>
    <cellStyle name="Normal 3 25 24" xfId="3648"/>
    <cellStyle name="Normal 3 25 3" xfId="1553"/>
    <cellStyle name="Normal 3 25 3 2" xfId="3649"/>
    <cellStyle name="Normal 3 25 4" xfId="1554"/>
    <cellStyle name="Normal 3 25 4 2" xfId="3650"/>
    <cellStyle name="Normal 3 25 5" xfId="1555"/>
    <cellStyle name="Normal 3 25 5 2" xfId="3651"/>
    <cellStyle name="Normal 3 25 6" xfId="1556"/>
    <cellStyle name="Normal 3 25 6 2" xfId="3652"/>
    <cellStyle name="Normal 3 25 7" xfId="1557"/>
    <cellStyle name="Normal 3 25 7 2" xfId="3653"/>
    <cellStyle name="Normal 3 25 8" xfId="1558"/>
    <cellStyle name="Normal 3 25 8 2" xfId="3654"/>
    <cellStyle name="Normal 3 25 9" xfId="1559"/>
    <cellStyle name="Normal 3 25 9 2" xfId="3655"/>
    <cellStyle name="Normal 3 26" xfId="1560"/>
    <cellStyle name="Normal 3 26 10" xfId="1561"/>
    <cellStyle name="Normal 3 26 10 2" xfId="3656"/>
    <cellStyle name="Normal 3 26 11" xfId="1562"/>
    <cellStyle name="Normal 3 26 11 2" xfId="3657"/>
    <cellStyle name="Normal 3 26 12" xfId="1563"/>
    <cellStyle name="Normal 3 26 12 2" xfId="3658"/>
    <cellStyle name="Normal 3 26 13" xfId="1564"/>
    <cellStyle name="Normal 3 26 13 2" xfId="3659"/>
    <cellStyle name="Normal 3 26 14" xfId="1565"/>
    <cellStyle name="Normal 3 26 14 2" xfId="3660"/>
    <cellStyle name="Normal 3 26 15" xfId="1566"/>
    <cellStyle name="Normal 3 26 15 2" xfId="3661"/>
    <cellStyle name="Normal 3 26 16" xfId="1567"/>
    <cellStyle name="Normal 3 26 16 2" xfId="3662"/>
    <cellStyle name="Normal 3 26 17" xfId="1568"/>
    <cellStyle name="Normal 3 26 17 2" xfId="3663"/>
    <cellStyle name="Normal 3 26 18" xfId="1569"/>
    <cellStyle name="Normal 3 26 18 2" xfId="3664"/>
    <cellStyle name="Normal 3 26 19" xfId="1570"/>
    <cellStyle name="Normal 3 26 19 2" xfId="3665"/>
    <cellStyle name="Normal 3 26 2" xfId="1571"/>
    <cellStyle name="Normal 3 26 2 2" xfId="3666"/>
    <cellStyle name="Normal 3 26 20" xfId="1572"/>
    <cellStyle name="Normal 3 26 20 2" xfId="3667"/>
    <cellStyle name="Normal 3 26 21" xfId="1573"/>
    <cellStyle name="Normal 3 26 21 2" xfId="3668"/>
    <cellStyle name="Normal 3 26 22" xfId="1574"/>
    <cellStyle name="Normal 3 26 22 2" xfId="3669"/>
    <cellStyle name="Normal 3 26 23" xfId="1575"/>
    <cellStyle name="Normal 3 26 23 2" xfId="3670"/>
    <cellStyle name="Normal 3 26 24" xfId="3671"/>
    <cellStyle name="Normal 3 26 3" xfId="1576"/>
    <cellStyle name="Normal 3 26 3 2" xfId="3672"/>
    <cellStyle name="Normal 3 26 4" xfId="1577"/>
    <cellStyle name="Normal 3 26 4 2" xfId="3673"/>
    <cellStyle name="Normal 3 26 5" xfId="1578"/>
    <cellStyle name="Normal 3 26 5 2" xfId="3674"/>
    <cellStyle name="Normal 3 26 6" xfId="1579"/>
    <cellStyle name="Normal 3 26 6 2" xfId="3675"/>
    <cellStyle name="Normal 3 26 7" xfId="1580"/>
    <cellStyle name="Normal 3 26 7 2" xfId="3676"/>
    <cellStyle name="Normal 3 26 8" xfId="1581"/>
    <cellStyle name="Normal 3 26 8 2" xfId="3677"/>
    <cellStyle name="Normal 3 26 9" xfId="1582"/>
    <cellStyle name="Normal 3 26 9 2" xfId="3678"/>
    <cellStyle name="Normal 3 27" xfId="1583"/>
    <cellStyle name="Normal 3 27 10" xfId="1584"/>
    <cellStyle name="Normal 3 27 10 2" xfId="3679"/>
    <cellStyle name="Normal 3 27 11" xfId="1585"/>
    <cellStyle name="Normal 3 27 11 2" xfId="3680"/>
    <cellStyle name="Normal 3 27 12" xfId="1586"/>
    <cellStyle name="Normal 3 27 12 2" xfId="3681"/>
    <cellStyle name="Normal 3 27 13" xfId="1587"/>
    <cellStyle name="Normal 3 27 13 2" xfId="3682"/>
    <cellStyle name="Normal 3 27 14" xfId="1588"/>
    <cellStyle name="Normal 3 27 14 2" xfId="3683"/>
    <cellStyle name="Normal 3 27 15" xfId="1589"/>
    <cellStyle name="Normal 3 27 15 2" xfId="3684"/>
    <cellStyle name="Normal 3 27 16" xfId="1590"/>
    <cellStyle name="Normal 3 27 16 2" xfId="3685"/>
    <cellStyle name="Normal 3 27 17" xfId="1591"/>
    <cellStyle name="Normal 3 27 17 2" xfId="3686"/>
    <cellStyle name="Normal 3 27 18" xfId="1592"/>
    <cellStyle name="Normal 3 27 18 2" xfId="3687"/>
    <cellStyle name="Normal 3 27 19" xfId="1593"/>
    <cellStyle name="Normal 3 27 19 2" xfId="3688"/>
    <cellStyle name="Normal 3 27 2" xfId="1594"/>
    <cellStyle name="Normal 3 27 2 2" xfId="3689"/>
    <cellStyle name="Normal 3 27 20" xfId="1595"/>
    <cellStyle name="Normal 3 27 20 2" xfId="3690"/>
    <cellStyle name="Normal 3 27 21" xfId="1596"/>
    <cellStyle name="Normal 3 27 21 2" xfId="3691"/>
    <cellStyle name="Normal 3 27 22" xfId="1597"/>
    <cellStyle name="Normal 3 27 22 2" xfId="3692"/>
    <cellStyle name="Normal 3 27 23" xfId="1598"/>
    <cellStyle name="Normal 3 27 23 2" xfId="3693"/>
    <cellStyle name="Normal 3 27 24" xfId="3694"/>
    <cellStyle name="Normal 3 27 3" xfId="1599"/>
    <cellStyle name="Normal 3 27 3 2" xfId="3695"/>
    <cellStyle name="Normal 3 27 4" xfId="1600"/>
    <cellStyle name="Normal 3 27 4 2" xfId="3696"/>
    <cellStyle name="Normal 3 27 5" xfId="1601"/>
    <cellStyle name="Normal 3 27 5 2" xfId="3697"/>
    <cellStyle name="Normal 3 27 6" xfId="1602"/>
    <cellStyle name="Normal 3 27 6 2" xfId="3698"/>
    <cellStyle name="Normal 3 27 7" xfId="1603"/>
    <cellStyle name="Normal 3 27 7 2" xfId="3699"/>
    <cellStyle name="Normal 3 27 8" xfId="1604"/>
    <cellStyle name="Normal 3 27 8 2" xfId="3700"/>
    <cellStyle name="Normal 3 27 9" xfId="1605"/>
    <cellStyle name="Normal 3 27 9 2" xfId="3701"/>
    <cellStyle name="Normal 3 28" xfId="1606"/>
    <cellStyle name="Normal 3 28 10" xfId="1607"/>
    <cellStyle name="Normal 3 28 10 2" xfId="3702"/>
    <cellStyle name="Normal 3 28 11" xfId="1608"/>
    <cellStyle name="Normal 3 28 11 2" xfId="3703"/>
    <cellStyle name="Normal 3 28 12" xfId="1609"/>
    <cellStyle name="Normal 3 28 12 2" xfId="3704"/>
    <cellStyle name="Normal 3 28 13" xfId="1610"/>
    <cellStyle name="Normal 3 28 13 2" xfId="3705"/>
    <cellStyle name="Normal 3 28 14" xfId="1611"/>
    <cellStyle name="Normal 3 28 14 2" xfId="3706"/>
    <cellStyle name="Normal 3 28 15" xfId="1612"/>
    <cellStyle name="Normal 3 28 15 2" xfId="3707"/>
    <cellStyle name="Normal 3 28 16" xfId="1613"/>
    <cellStyle name="Normal 3 28 16 2" xfId="3708"/>
    <cellStyle name="Normal 3 28 17" xfId="1614"/>
    <cellStyle name="Normal 3 28 17 2" xfId="3709"/>
    <cellStyle name="Normal 3 28 18" xfId="1615"/>
    <cellStyle name="Normal 3 28 18 2" xfId="3710"/>
    <cellStyle name="Normal 3 28 19" xfId="1616"/>
    <cellStyle name="Normal 3 28 19 2" xfId="3711"/>
    <cellStyle name="Normal 3 28 2" xfId="1617"/>
    <cellStyle name="Normal 3 28 2 2" xfId="3712"/>
    <cellStyle name="Normal 3 28 20" xfId="1618"/>
    <cellStyle name="Normal 3 28 20 2" xfId="3713"/>
    <cellStyle name="Normal 3 28 21" xfId="1619"/>
    <cellStyle name="Normal 3 28 21 2" xfId="3714"/>
    <cellStyle name="Normal 3 28 22" xfId="1620"/>
    <cellStyle name="Normal 3 28 22 2" xfId="3715"/>
    <cellStyle name="Normal 3 28 23" xfId="1621"/>
    <cellStyle name="Normal 3 28 23 2" xfId="3716"/>
    <cellStyle name="Normal 3 28 24" xfId="3717"/>
    <cellStyle name="Normal 3 28 3" xfId="1622"/>
    <cellStyle name="Normal 3 28 3 2" xfId="3718"/>
    <cellStyle name="Normal 3 28 4" xfId="1623"/>
    <cellStyle name="Normal 3 28 4 2" xfId="3719"/>
    <cellStyle name="Normal 3 28 5" xfId="1624"/>
    <cellStyle name="Normal 3 28 5 2" xfId="3720"/>
    <cellStyle name="Normal 3 28 6" xfId="1625"/>
    <cellStyle name="Normal 3 28 6 2" xfId="3721"/>
    <cellStyle name="Normal 3 28 7" xfId="1626"/>
    <cellStyle name="Normal 3 28 7 2" xfId="3722"/>
    <cellStyle name="Normal 3 28 8" xfId="1627"/>
    <cellStyle name="Normal 3 28 8 2" xfId="3723"/>
    <cellStyle name="Normal 3 28 9" xfId="1628"/>
    <cellStyle name="Normal 3 28 9 2" xfId="3724"/>
    <cellStyle name="Normal 3 29" xfId="1629"/>
    <cellStyle name="Normal 3 29 10" xfId="1630"/>
    <cellStyle name="Normal 3 29 10 2" xfId="3725"/>
    <cellStyle name="Normal 3 29 11" xfId="1631"/>
    <cellStyle name="Normal 3 29 11 2" xfId="3726"/>
    <cellStyle name="Normal 3 29 12" xfId="1632"/>
    <cellStyle name="Normal 3 29 12 2" xfId="3727"/>
    <cellStyle name="Normal 3 29 13" xfId="1633"/>
    <cellStyle name="Normal 3 29 13 2" xfId="3728"/>
    <cellStyle name="Normal 3 29 14" xfId="1634"/>
    <cellStyle name="Normal 3 29 14 2" xfId="3729"/>
    <cellStyle name="Normal 3 29 15" xfId="1635"/>
    <cellStyle name="Normal 3 29 15 2" xfId="3730"/>
    <cellStyle name="Normal 3 29 16" xfId="1636"/>
    <cellStyle name="Normal 3 29 16 2" xfId="3731"/>
    <cellStyle name="Normal 3 29 17" xfId="1637"/>
    <cellStyle name="Normal 3 29 17 2" xfId="3732"/>
    <cellStyle name="Normal 3 29 18" xfId="1638"/>
    <cellStyle name="Normal 3 29 18 2" xfId="3733"/>
    <cellStyle name="Normal 3 29 19" xfId="1639"/>
    <cellStyle name="Normal 3 29 19 2" xfId="3734"/>
    <cellStyle name="Normal 3 29 2" xfId="1640"/>
    <cellStyle name="Normal 3 29 2 2" xfId="3735"/>
    <cellStyle name="Normal 3 29 20" xfId="1641"/>
    <cellStyle name="Normal 3 29 20 2" xfId="3736"/>
    <cellStyle name="Normal 3 29 21" xfId="1642"/>
    <cellStyle name="Normal 3 29 21 2" xfId="3737"/>
    <cellStyle name="Normal 3 29 22" xfId="1643"/>
    <cellStyle name="Normal 3 29 22 2" xfId="3738"/>
    <cellStyle name="Normal 3 29 23" xfId="1644"/>
    <cellStyle name="Normal 3 29 23 2" xfId="3739"/>
    <cellStyle name="Normal 3 29 24" xfId="3740"/>
    <cellStyle name="Normal 3 29 3" xfId="1645"/>
    <cellStyle name="Normal 3 29 3 2" xfId="3741"/>
    <cellStyle name="Normal 3 29 4" xfId="1646"/>
    <cellStyle name="Normal 3 29 4 2" xfId="3742"/>
    <cellStyle name="Normal 3 29 5" xfId="1647"/>
    <cellStyle name="Normal 3 29 5 2" xfId="3743"/>
    <cellStyle name="Normal 3 29 6" xfId="1648"/>
    <cellStyle name="Normal 3 29 6 2" xfId="3744"/>
    <cellStyle name="Normal 3 29 7" xfId="1649"/>
    <cellStyle name="Normal 3 29 7 2" xfId="3745"/>
    <cellStyle name="Normal 3 29 8" xfId="1650"/>
    <cellStyle name="Normal 3 29 8 2" xfId="3746"/>
    <cellStyle name="Normal 3 29 9" xfId="1651"/>
    <cellStyle name="Normal 3 29 9 2" xfId="3747"/>
    <cellStyle name="Normal 3 3" xfId="1652"/>
    <cellStyle name="Normal 3 3 10" xfId="1653"/>
    <cellStyle name="Normal 3 3 10 2" xfId="3748"/>
    <cellStyle name="Normal 3 3 11" xfId="1654"/>
    <cellStyle name="Normal 3 3 11 2" xfId="3749"/>
    <cellStyle name="Normal 3 3 12" xfId="1655"/>
    <cellStyle name="Normal 3 3 12 2" xfId="3750"/>
    <cellStyle name="Normal 3 3 13" xfId="1656"/>
    <cellStyle name="Normal 3 3 13 2" xfId="3751"/>
    <cellStyle name="Normal 3 3 14" xfId="1657"/>
    <cellStyle name="Normal 3 3 14 2" xfId="3752"/>
    <cellStyle name="Normal 3 3 15" xfId="1658"/>
    <cellStyle name="Normal 3 3 15 2" xfId="3753"/>
    <cellStyle name="Normal 3 3 16" xfId="1659"/>
    <cellStyle name="Normal 3 3 16 2" xfId="3754"/>
    <cellStyle name="Normal 3 3 17" xfId="1660"/>
    <cellStyle name="Normal 3 3 17 2" xfId="3755"/>
    <cellStyle name="Normal 3 3 18" xfId="1661"/>
    <cellStyle name="Normal 3 3 18 2" xfId="3756"/>
    <cellStyle name="Normal 3 3 19" xfId="1662"/>
    <cellStyle name="Normal 3 3 19 2" xfId="3757"/>
    <cellStyle name="Normal 3 3 2" xfId="1663"/>
    <cellStyle name="Normal 3 3 2 2" xfId="3758"/>
    <cellStyle name="Normal 3 3 20" xfId="1664"/>
    <cellStyle name="Normal 3 3 20 2" xfId="3759"/>
    <cellStyle name="Normal 3 3 21" xfId="1665"/>
    <cellStyle name="Normal 3 3 21 2" xfId="3760"/>
    <cellStyle name="Normal 3 3 22" xfId="1666"/>
    <cellStyle name="Normal 3 3 22 2" xfId="3761"/>
    <cellStyle name="Normal 3 3 23" xfId="1667"/>
    <cellStyle name="Normal 3 3 23 2" xfId="3762"/>
    <cellStyle name="Normal 3 3 24" xfId="3763"/>
    <cellStyle name="Normal 3 3 3" xfId="1668"/>
    <cellStyle name="Normal 3 3 3 2" xfId="3764"/>
    <cellStyle name="Normal 3 3 4" xfId="1669"/>
    <cellStyle name="Normal 3 3 4 2" xfId="3765"/>
    <cellStyle name="Normal 3 3 5" xfId="1670"/>
    <cellStyle name="Normal 3 3 5 2" xfId="3766"/>
    <cellStyle name="Normal 3 3 6" xfId="1671"/>
    <cellStyle name="Normal 3 3 6 2" xfId="3767"/>
    <cellStyle name="Normal 3 3 7" xfId="1672"/>
    <cellStyle name="Normal 3 3 7 2" xfId="3768"/>
    <cellStyle name="Normal 3 3 8" xfId="1673"/>
    <cellStyle name="Normal 3 3 8 2" xfId="3769"/>
    <cellStyle name="Normal 3 3 9" xfId="1674"/>
    <cellStyle name="Normal 3 3 9 2" xfId="3770"/>
    <cellStyle name="Normal 3 30" xfId="1675"/>
    <cellStyle name="Normal 3 30 10" xfId="1676"/>
    <cellStyle name="Normal 3 30 10 2" xfId="3771"/>
    <cellStyle name="Normal 3 30 11" xfId="1677"/>
    <cellStyle name="Normal 3 30 11 2" xfId="3772"/>
    <cellStyle name="Normal 3 30 12" xfId="1678"/>
    <cellStyle name="Normal 3 30 12 2" xfId="3773"/>
    <cellStyle name="Normal 3 30 13" xfId="1679"/>
    <cellStyle name="Normal 3 30 13 2" xfId="3774"/>
    <cellStyle name="Normal 3 30 14" xfId="1680"/>
    <cellStyle name="Normal 3 30 14 2" xfId="3775"/>
    <cellStyle name="Normal 3 30 15" xfId="1681"/>
    <cellStyle name="Normal 3 30 15 2" xfId="3776"/>
    <cellStyle name="Normal 3 30 16" xfId="1682"/>
    <cellStyle name="Normal 3 30 16 2" xfId="3777"/>
    <cellStyle name="Normal 3 30 17" xfId="1683"/>
    <cellStyle name="Normal 3 30 17 2" xfId="3778"/>
    <cellStyle name="Normal 3 30 18" xfId="1684"/>
    <cellStyle name="Normal 3 30 18 2" xfId="3779"/>
    <cellStyle name="Normal 3 30 19" xfId="1685"/>
    <cellStyle name="Normal 3 30 19 2" xfId="3780"/>
    <cellStyle name="Normal 3 30 2" xfId="1686"/>
    <cellStyle name="Normal 3 30 2 2" xfId="3781"/>
    <cellStyle name="Normal 3 30 20" xfId="1687"/>
    <cellStyle name="Normal 3 30 20 2" xfId="3782"/>
    <cellStyle name="Normal 3 30 21" xfId="1688"/>
    <cellStyle name="Normal 3 30 21 2" xfId="3783"/>
    <cellStyle name="Normal 3 30 22" xfId="1689"/>
    <cellStyle name="Normal 3 30 22 2" xfId="3784"/>
    <cellStyle name="Normal 3 30 23" xfId="1690"/>
    <cellStyle name="Normal 3 30 23 2" xfId="3785"/>
    <cellStyle name="Normal 3 30 24" xfId="3786"/>
    <cellStyle name="Normal 3 30 3" xfId="1691"/>
    <cellStyle name="Normal 3 30 3 2" xfId="3787"/>
    <cellStyle name="Normal 3 30 4" xfId="1692"/>
    <cellStyle name="Normal 3 30 4 2" xfId="3788"/>
    <cellStyle name="Normal 3 30 5" xfId="1693"/>
    <cellStyle name="Normal 3 30 5 2" xfId="3789"/>
    <cellStyle name="Normal 3 30 6" xfId="1694"/>
    <cellStyle name="Normal 3 30 6 2" xfId="3790"/>
    <cellStyle name="Normal 3 30 7" xfId="1695"/>
    <cellStyle name="Normal 3 30 7 2" xfId="3791"/>
    <cellStyle name="Normal 3 30 8" xfId="1696"/>
    <cellStyle name="Normal 3 30 8 2" xfId="3792"/>
    <cellStyle name="Normal 3 30 9" xfId="1697"/>
    <cellStyle name="Normal 3 30 9 2" xfId="3793"/>
    <cellStyle name="Normal 3 31" xfId="1698"/>
    <cellStyle name="Normal 3 31 10" xfId="1699"/>
    <cellStyle name="Normal 3 31 10 2" xfId="3794"/>
    <cellStyle name="Normal 3 31 11" xfId="1700"/>
    <cellStyle name="Normal 3 31 11 2" xfId="3795"/>
    <cellStyle name="Normal 3 31 12" xfId="1701"/>
    <cellStyle name="Normal 3 31 12 2" xfId="3796"/>
    <cellStyle name="Normal 3 31 13" xfId="1702"/>
    <cellStyle name="Normal 3 31 13 2" xfId="3797"/>
    <cellStyle name="Normal 3 31 14" xfId="1703"/>
    <cellStyle name="Normal 3 31 14 2" xfId="3798"/>
    <cellStyle name="Normal 3 31 15" xfId="1704"/>
    <cellStyle name="Normal 3 31 15 2" xfId="3799"/>
    <cellStyle name="Normal 3 31 16" xfId="1705"/>
    <cellStyle name="Normal 3 31 16 2" xfId="3800"/>
    <cellStyle name="Normal 3 31 17" xfId="1706"/>
    <cellStyle name="Normal 3 31 17 2" xfId="3801"/>
    <cellStyle name="Normal 3 31 18" xfId="1707"/>
    <cellStyle name="Normal 3 31 18 2" xfId="3802"/>
    <cellStyle name="Normal 3 31 19" xfId="1708"/>
    <cellStyle name="Normal 3 31 19 2" xfId="3803"/>
    <cellStyle name="Normal 3 31 2" xfId="1709"/>
    <cellStyle name="Normal 3 31 2 2" xfId="3804"/>
    <cellStyle name="Normal 3 31 20" xfId="1710"/>
    <cellStyle name="Normal 3 31 20 2" xfId="3805"/>
    <cellStyle name="Normal 3 31 21" xfId="1711"/>
    <cellStyle name="Normal 3 31 21 2" xfId="3806"/>
    <cellStyle name="Normal 3 31 22" xfId="1712"/>
    <cellStyle name="Normal 3 31 22 2" xfId="3807"/>
    <cellStyle name="Normal 3 31 23" xfId="1713"/>
    <cellStyle name="Normal 3 31 23 2" xfId="3808"/>
    <cellStyle name="Normal 3 31 24" xfId="3809"/>
    <cellStyle name="Normal 3 31 3" xfId="1714"/>
    <cellStyle name="Normal 3 31 3 2" xfId="3810"/>
    <cellStyle name="Normal 3 31 4" xfId="1715"/>
    <cellStyle name="Normal 3 31 4 2" xfId="3811"/>
    <cellStyle name="Normal 3 31 5" xfId="1716"/>
    <cellStyle name="Normal 3 31 5 2" xfId="3812"/>
    <cellStyle name="Normal 3 31 6" xfId="1717"/>
    <cellStyle name="Normal 3 31 6 2" xfId="3813"/>
    <cellStyle name="Normal 3 31 7" xfId="1718"/>
    <cellStyle name="Normal 3 31 7 2" xfId="3814"/>
    <cellStyle name="Normal 3 31 8" xfId="1719"/>
    <cellStyle name="Normal 3 31 8 2" xfId="3815"/>
    <cellStyle name="Normal 3 31 9" xfId="1720"/>
    <cellStyle name="Normal 3 31 9 2" xfId="3816"/>
    <cellStyle name="Normal 3 32" xfId="1721"/>
    <cellStyle name="Normal 3 32 10" xfId="1722"/>
    <cellStyle name="Normal 3 32 10 2" xfId="3817"/>
    <cellStyle name="Normal 3 32 11" xfId="1723"/>
    <cellStyle name="Normal 3 32 11 2" xfId="3818"/>
    <cellStyle name="Normal 3 32 12" xfId="1724"/>
    <cellStyle name="Normal 3 32 12 2" xfId="3819"/>
    <cellStyle name="Normal 3 32 13" xfId="1725"/>
    <cellStyle name="Normal 3 32 13 2" xfId="3820"/>
    <cellStyle name="Normal 3 32 14" xfId="1726"/>
    <cellStyle name="Normal 3 32 14 2" xfId="3821"/>
    <cellStyle name="Normal 3 32 15" xfId="1727"/>
    <cellStyle name="Normal 3 32 15 2" xfId="3822"/>
    <cellStyle name="Normal 3 32 16" xfId="1728"/>
    <cellStyle name="Normal 3 32 16 2" xfId="3823"/>
    <cellStyle name="Normal 3 32 17" xfId="1729"/>
    <cellStyle name="Normal 3 32 17 2" xfId="3824"/>
    <cellStyle name="Normal 3 32 18" xfId="1730"/>
    <cellStyle name="Normal 3 32 18 2" xfId="3825"/>
    <cellStyle name="Normal 3 32 19" xfId="1731"/>
    <cellStyle name="Normal 3 32 19 2" xfId="3826"/>
    <cellStyle name="Normal 3 32 2" xfId="1732"/>
    <cellStyle name="Normal 3 32 2 2" xfId="3827"/>
    <cellStyle name="Normal 3 32 20" xfId="1733"/>
    <cellStyle name="Normal 3 32 20 2" xfId="3828"/>
    <cellStyle name="Normal 3 32 21" xfId="1734"/>
    <cellStyle name="Normal 3 32 21 2" xfId="3829"/>
    <cellStyle name="Normal 3 32 22" xfId="1735"/>
    <cellStyle name="Normal 3 32 22 2" xfId="3830"/>
    <cellStyle name="Normal 3 32 23" xfId="1736"/>
    <cellStyle name="Normal 3 32 23 2" xfId="3831"/>
    <cellStyle name="Normal 3 32 24" xfId="3832"/>
    <cellStyle name="Normal 3 32 3" xfId="1737"/>
    <cellStyle name="Normal 3 32 3 2" xfId="3833"/>
    <cellStyle name="Normal 3 32 4" xfId="1738"/>
    <cellStyle name="Normal 3 32 4 2" xfId="3834"/>
    <cellStyle name="Normal 3 32 5" xfId="1739"/>
    <cellStyle name="Normal 3 32 5 2" xfId="3835"/>
    <cellStyle name="Normal 3 32 6" xfId="1740"/>
    <cellStyle name="Normal 3 32 6 2" xfId="3836"/>
    <cellStyle name="Normal 3 32 7" xfId="1741"/>
    <cellStyle name="Normal 3 32 7 2" xfId="3837"/>
    <cellStyle name="Normal 3 32 8" xfId="1742"/>
    <cellStyle name="Normal 3 32 8 2" xfId="3838"/>
    <cellStyle name="Normal 3 32 9" xfId="1743"/>
    <cellStyle name="Normal 3 32 9 2" xfId="3839"/>
    <cellStyle name="Normal 3 33" xfId="1744"/>
    <cellStyle name="Normal 3 33 10" xfId="1745"/>
    <cellStyle name="Normal 3 33 10 2" xfId="3840"/>
    <cellStyle name="Normal 3 33 11" xfId="1746"/>
    <cellStyle name="Normal 3 33 11 2" xfId="3841"/>
    <cellStyle name="Normal 3 33 12" xfId="1747"/>
    <cellStyle name="Normal 3 33 12 2" xfId="3842"/>
    <cellStyle name="Normal 3 33 13" xfId="1748"/>
    <cellStyle name="Normal 3 33 13 2" xfId="3843"/>
    <cellStyle name="Normal 3 33 14" xfId="1749"/>
    <cellStyle name="Normal 3 33 14 2" xfId="3844"/>
    <cellStyle name="Normal 3 33 15" xfId="1750"/>
    <cellStyle name="Normal 3 33 15 2" xfId="3845"/>
    <cellStyle name="Normal 3 33 16" xfId="1751"/>
    <cellStyle name="Normal 3 33 16 2" xfId="3846"/>
    <cellStyle name="Normal 3 33 17" xfId="1752"/>
    <cellStyle name="Normal 3 33 17 2" xfId="3847"/>
    <cellStyle name="Normal 3 33 18" xfId="1753"/>
    <cellStyle name="Normal 3 33 18 2" xfId="3848"/>
    <cellStyle name="Normal 3 33 19" xfId="1754"/>
    <cellStyle name="Normal 3 33 19 2" xfId="3849"/>
    <cellStyle name="Normal 3 33 2" xfId="1755"/>
    <cellStyle name="Normal 3 33 2 2" xfId="3850"/>
    <cellStyle name="Normal 3 33 20" xfId="1756"/>
    <cellStyle name="Normal 3 33 20 2" xfId="3851"/>
    <cellStyle name="Normal 3 33 21" xfId="1757"/>
    <cellStyle name="Normal 3 33 21 2" xfId="3852"/>
    <cellStyle name="Normal 3 33 22" xfId="1758"/>
    <cellStyle name="Normal 3 33 22 2" xfId="3853"/>
    <cellStyle name="Normal 3 33 23" xfId="1759"/>
    <cellStyle name="Normal 3 33 23 2" xfId="3854"/>
    <cellStyle name="Normal 3 33 24" xfId="3855"/>
    <cellStyle name="Normal 3 33 3" xfId="1760"/>
    <cellStyle name="Normal 3 33 3 2" xfId="3856"/>
    <cellStyle name="Normal 3 33 4" xfId="1761"/>
    <cellStyle name="Normal 3 33 4 2" xfId="3857"/>
    <cellStyle name="Normal 3 33 5" xfId="1762"/>
    <cellStyle name="Normal 3 33 5 2" xfId="3858"/>
    <cellStyle name="Normal 3 33 6" xfId="1763"/>
    <cellStyle name="Normal 3 33 6 2" xfId="3859"/>
    <cellStyle name="Normal 3 33 7" xfId="1764"/>
    <cellStyle name="Normal 3 33 7 2" xfId="3860"/>
    <cellStyle name="Normal 3 33 8" xfId="1765"/>
    <cellStyle name="Normal 3 33 8 2" xfId="3861"/>
    <cellStyle name="Normal 3 33 9" xfId="1766"/>
    <cellStyle name="Normal 3 33 9 2" xfId="3862"/>
    <cellStyle name="Normal 3 34" xfId="1767"/>
    <cellStyle name="Normal 3 34 2" xfId="3863"/>
    <cellStyle name="Normal 3 35" xfId="1768"/>
    <cellStyle name="Normal 3 35 2" xfId="3864"/>
    <cellStyle name="Normal 3 36" xfId="1769"/>
    <cellStyle name="Normal 3 36 2" xfId="3865"/>
    <cellStyle name="Normal 3 37" xfId="1770"/>
    <cellStyle name="Normal 3 37 2" xfId="3866"/>
    <cellStyle name="Normal 3 38" xfId="1771"/>
    <cellStyle name="Normal 3 38 2" xfId="3867"/>
    <cellStyle name="Normal 3 39" xfId="1772"/>
    <cellStyle name="Normal 3 39 2" xfId="3868"/>
    <cellStyle name="Normal 3 4" xfId="1773"/>
    <cellStyle name="Normal 3 4 10" xfId="1774"/>
    <cellStyle name="Normal 3 4 10 2" xfId="3869"/>
    <cellStyle name="Normal 3 4 11" xfId="1775"/>
    <cellStyle name="Normal 3 4 11 2" xfId="3870"/>
    <cellStyle name="Normal 3 4 12" xfId="1776"/>
    <cellStyle name="Normal 3 4 12 2" xfId="3871"/>
    <cellStyle name="Normal 3 4 13" xfId="1777"/>
    <cellStyle name="Normal 3 4 13 2" xfId="3872"/>
    <cellStyle name="Normal 3 4 14" xfId="1778"/>
    <cellStyle name="Normal 3 4 14 2" xfId="3873"/>
    <cellStyle name="Normal 3 4 15" xfId="1779"/>
    <cellStyle name="Normal 3 4 15 2" xfId="3874"/>
    <cellStyle name="Normal 3 4 16" xfId="1780"/>
    <cellStyle name="Normal 3 4 16 2" xfId="3875"/>
    <cellStyle name="Normal 3 4 17" xfId="1781"/>
    <cellStyle name="Normal 3 4 17 2" xfId="3876"/>
    <cellStyle name="Normal 3 4 18" xfId="1782"/>
    <cellStyle name="Normal 3 4 18 2" xfId="3877"/>
    <cellStyle name="Normal 3 4 19" xfId="1783"/>
    <cellStyle name="Normal 3 4 19 2" xfId="3878"/>
    <cellStyle name="Normal 3 4 2" xfId="1784"/>
    <cellStyle name="Normal 3 4 2 2" xfId="3879"/>
    <cellStyle name="Normal 3 4 20" xfId="1785"/>
    <cellStyle name="Normal 3 4 20 2" xfId="3880"/>
    <cellStyle name="Normal 3 4 21" xfId="1786"/>
    <cellStyle name="Normal 3 4 21 2" xfId="3881"/>
    <cellStyle name="Normal 3 4 22" xfId="1787"/>
    <cellStyle name="Normal 3 4 22 2" xfId="3882"/>
    <cellStyle name="Normal 3 4 23" xfId="1788"/>
    <cellStyle name="Normal 3 4 23 2" xfId="3883"/>
    <cellStyle name="Normal 3 4 24" xfId="3884"/>
    <cellStyle name="Normal 3 4 3" xfId="1789"/>
    <cellStyle name="Normal 3 4 3 2" xfId="3885"/>
    <cellStyle name="Normal 3 4 4" xfId="1790"/>
    <cellStyle name="Normal 3 4 4 2" xfId="3886"/>
    <cellStyle name="Normal 3 4 5" xfId="1791"/>
    <cellStyle name="Normal 3 4 5 2" xfId="3887"/>
    <cellStyle name="Normal 3 4 6" xfId="1792"/>
    <cellStyle name="Normal 3 4 6 2" xfId="3888"/>
    <cellStyle name="Normal 3 4 7" xfId="1793"/>
    <cellStyle name="Normal 3 4 7 2" xfId="3889"/>
    <cellStyle name="Normal 3 4 8" xfId="1794"/>
    <cellStyle name="Normal 3 4 8 2" xfId="3890"/>
    <cellStyle name="Normal 3 4 9" xfId="1795"/>
    <cellStyle name="Normal 3 4 9 2" xfId="3891"/>
    <cellStyle name="Normal 3 40" xfId="1796"/>
    <cellStyle name="Normal 3 40 2" xfId="3892"/>
    <cellStyle name="Normal 3 41" xfId="1797"/>
    <cellStyle name="Normal 3 41 2" xfId="3893"/>
    <cellStyle name="Normal 3 42" xfId="1798"/>
    <cellStyle name="Normal 3 42 2" xfId="3894"/>
    <cellStyle name="Normal 3 43" xfId="1799"/>
    <cellStyle name="Normal 3 43 2" xfId="3895"/>
    <cellStyle name="Normal 3 44" xfId="1800"/>
    <cellStyle name="Normal 3 44 2" xfId="3896"/>
    <cellStyle name="Normal 3 45" xfId="1801"/>
    <cellStyle name="Normal 3 45 2" xfId="3897"/>
    <cellStyle name="Normal 3 46" xfId="1802"/>
    <cellStyle name="Normal 3 46 2" xfId="3898"/>
    <cellStyle name="Normal 3 47" xfId="1803"/>
    <cellStyle name="Normal 3 47 2" xfId="3899"/>
    <cellStyle name="Normal 3 48" xfId="1804"/>
    <cellStyle name="Normal 3 48 2" xfId="3900"/>
    <cellStyle name="Normal 3 49" xfId="1805"/>
    <cellStyle name="Normal 3 49 2" xfId="3901"/>
    <cellStyle name="Normal 3 5" xfId="1806"/>
    <cellStyle name="Normal 3 5 10" xfId="1807"/>
    <cellStyle name="Normal 3 5 10 2" xfId="3902"/>
    <cellStyle name="Normal 3 5 11" xfId="1808"/>
    <cellStyle name="Normal 3 5 11 2" xfId="3903"/>
    <cellStyle name="Normal 3 5 12" xfId="1809"/>
    <cellStyle name="Normal 3 5 12 2" xfId="3904"/>
    <cellStyle name="Normal 3 5 13" xfId="1810"/>
    <cellStyle name="Normal 3 5 13 2" xfId="3905"/>
    <cellStyle name="Normal 3 5 14" xfId="1811"/>
    <cellStyle name="Normal 3 5 14 2" xfId="3906"/>
    <cellStyle name="Normal 3 5 15" xfId="1812"/>
    <cellStyle name="Normal 3 5 15 2" xfId="3907"/>
    <cellStyle name="Normal 3 5 16" xfId="1813"/>
    <cellStyle name="Normal 3 5 16 2" xfId="3908"/>
    <cellStyle name="Normal 3 5 17" xfId="1814"/>
    <cellStyle name="Normal 3 5 17 2" xfId="3909"/>
    <cellStyle name="Normal 3 5 18" xfId="1815"/>
    <cellStyle name="Normal 3 5 18 2" xfId="3910"/>
    <cellStyle name="Normal 3 5 19" xfId="1816"/>
    <cellStyle name="Normal 3 5 19 2" xfId="3911"/>
    <cellStyle name="Normal 3 5 2" xfId="1817"/>
    <cellStyle name="Normal 3 5 2 2" xfId="3912"/>
    <cellStyle name="Normal 3 5 20" xfId="1818"/>
    <cellStyle name="Normal 3 5 20 2" xfId="3913"/>
    <cellStyle name="Normal 3 5 21" xfId="1819"/>
    <cellStyle name="Normal 3 5 21 2" xfId="3914"/>
    <cellStyle name="Normal 3 5 22" xfId="1820"/>
    <cellStyle name="Normal 3 5 22 2" xfId="3915"/>
    <cellStyle name="Normal 3 5 23" xfId="1821"/>
    <cellStyle name="Normal 3 5 23 2" xfId="3916"/>
    <cellStyle name="Normal 3 5 24" xfId="3917"/>
    <cellStyle name="Normal 3 5 3" xfId="1822"/>
    <cellStyle name="Normal 3 5 3 2" xfId="3918"/>
    <cellStyle name="Normal 3 5 4" xfId="1823"/>
    <cellStyle name="Normal 3 5 4 2" xfId="3919"/>
    <cellStyle name="Normal 3 5 5" xfId="1824"/>
    <cellStyle name="Normal 3 5 5 2" xfId="3920"/>
    <cellStyle name="Normal 3 5 6" xfId="1825"/>
    <cellStyle name="Normal 3 5 6 2" xfId="3921"/>
    <cellStyle name="Normal 3 5 7" xfId="1826"/>
    <cellStyle name="Normal 3 5 7 2" xfId="3922"/>
    <cellStyle name="Normal 3 5 8" xfId="1827"/>
    <cellStyle name="Normal 3 5 8 2" xfId="3923"/>
    <cellStyle name="Normal 3 5 9" xfId="1828"/>
    <cellStyle name="Normal 3 5 9 2" xfId="3924"/>
    <cellStyle name="Normal 3 50" xfId="1829"/>
    <cellStyle name="Normal 3 50 2" xfId="3925"/>
    <cellStyle name="Normal 3 51" xfId="1830"/>
    <cellStyle name="Normal 3 51 2" xfId="3926"/>
    <cellStyle name="Normal 3 52" xfId="1831"/>
    <cellStyle name="Normal 3 52 2" xfId="3927"/>
    <cellStyle name="Normal 3 53" xfId="1832"/>
    <cellStyle name="Normal 3 53 2" xfId="3928"/>
    <cellStyle name="Normal 3 54" xfId="1833"/>
    <cellStyle name="Normal 3 54 2" xfId="3929"/>
    <cellStyle name="Normal 3 55" xfId="1834"/>
    <cellStyle name="Normal 3 55 2" xfId="3930"/>
    <cellStyle name="Normal 3 56" xfId="1835"/>
    <cellStyle name="Normal 3 56 2" xfId="3931"/>
    <cellStyle name="Normal 3 57" xfId="1836"/>
    <cellStyle name="Normal 3 57 2" xfId="3932"/>
    <cellStyle name="Normal 3 58" xfId="1837"/>
    <cellStyle name="Normal 3 58 2" xfId="3933"/>
    <cellStyle name="Normal 3 59" xfId="1838"/>
    <cellStyle name="Normal 3 59 2" xfId="3934"/>
    <cellStyle name="Normal 3 6" xfId="1839"/>
    <cellStyle name="Normal 3 6 10" xfId="1840"/>
    <cellStyle name="Normal 3 6 10 2" xfId="3935"/>
    <cellStyle name="Normal 3 6 11" xfId="1841"/>
    <cellStyle name="Normal 3 6 11 2" xfId="3936"/>
    <cellStyle name="Normal 3 6 12" xfId="1842"/>
    <cellStyle name="Normal 3 6 12 2" xfId="3937"/>
    <cellStyle name="Normal 3 6 13" xfId="1843"/>
    <cellStyle name="Normal 3 6 13 2" xfId="3938"/>
    <cellStyle name="Normal 3 6 14" xfId="1844"/>
    <cellStyle name="Normal 3 6 14 2" xfId="3939"/>
    <cellStyle name="Normal 3 6 15" xfId="1845"/>
    <cellStyle name="Normal 3 6 15 2" xfId="3940"/>
    <cellStyle name="Normal 3 6 16" xfId="1846"/>
    <cellStyle name="Normal 3 6 16 2" xfId="3941"/>
    <cellStyle name="Normal 3 6 17" xfId="1847"/>
    <cellStyle name="Normal 3 6 17 2" xfId="3942"/>
    <cellStyle name="Normal 3 6 18" xfId="1848"/>
    <cellStyle name="Normal 3 6 18 2" xfId="3943"/>
    <cellStyle name="Normal 3 6 19" xfId="1849"/>
    <cellStyle name="Normal 3 6 19 2" xfId="3944"/>
    <cellStyle name="Normal 3 6 2" xfId="1850"/>
    <cellStyle name="Normal 3 6 2 2" xfId="3945"/>
    <cellStyle name="Normal 3 6 20" xfId="1851"/>
    <cellStyle name="Normal 3 6 20 2" xfId="3946"/>
    <cellStyle name="Normal 3 6 21" xfId="1852"/>
    <cellStyle name="Normal 3 6 21 2" xfId="3947"/>
    <cellStyle name="Normal 3 6 22" xfId="1853"/>
    <cellStyle name="Normal 3 6 22 2" xfId="3948"/>
    <cellStyle name="Normal 3 6 23" xfId="1854"/>
    <cellStyle name="Normal 3 6 23 2" xfId="3949"/>
    <cellStyle name="Normal 3 6 24" xfId="3950"/>
    <cellStyle name="Normal 3 6 3" xfId="1855"/>
    <cellStyle name="Normal 3 6 3 2" xfId="3951"/>
    <cellStyle name="Normal 3 6 4" xfId="1856"/>
    <cellStyle name="Normal 3 6 4 2" xfId="3952"/>
    <cellStyle name="Normal 3 6 5" xfId="1857"/>
    <cellStyle name="Normal 3 6 5 2" xfId="3953"/>
    <cellStyle name="Normal 3 6 6" xfId="1858"/>
    <cellStyle name="Normal 3 6 6 2" xfId="3954"/>
    <cellStyle name="Normal 3 6 7" xfId="1859"/>
    <cellStyle name="Normal 3 6 7 2" xfId="3955"/>
    <cellStyle name="Normal 3 6 8" xfId="1860"/>
    <cellStyle name="Normal 3 6 8 2" xfId="3956"/>
    <cellStyle name="Normal 3 6 9" xfId="1861"/>
    <cellStyle name="Normal 3 6 9 2" xfId="3957"/>
    <cellStyle name="Normal 3 60" xfId="1862"/>
    <cellStyle name="Normal 3 60 2" xfId="3958"/>
    <cellStyle name="Normal 3 61" xfId="1863"/>
    <cellStyle name="Normal 3 61 2" xfId="3959"/>
    <cellStyle name="Normal 3 62" xfId="1864"/>
    <cellStyle name="Normal 3 62 2" xfId="3960"/>
    <cellStyle name="Normal 3 63" xfId="1865"/>
    <cellStyle name="Normal 3 63 2" xfId="3961"/>
    <cellStyle name="Normal 3 64" xfId="1866"/>
    <cellStyle name="Normal 3 64 2" xfId="3962"/>
    <cellStyle name="Normal 3 65" xfId="1867"/>
    <cellStyle name="Normal 3 65 2" xfId="3963"/>
    <cellStyle name="Normal 3 66" xfId="1868"/>
    <cellStyle name="Normal 3 66 2" xfId="3964"/>
    <cellStyle name="Normal 3 7" xfId="1869"/>
    <cellStyle name="Normal 3 7 10" xfId="1870"/>
    <cellStyle name="Normal 3 7 10 2" xfId="3965"/>
    <cellStyle name="Normal 3 7 11" xfId="1871"/>
    <cellStyle name="Normal 3 7 11 2" xfId="3966"/>
    <cellStyle name="Normal 3 7 12" xfId="1872"/>
    <cellStyle name="Normal 3 7 12 2" xfId="3967"/>
    <cellStyle name="Normal 3 7 13" xfId="1873"/>
    <cellStyle name="Normal 3 7 13 2" xfId="3968"/>
    <cellStyle name="Normal 3 7 14" xfId="1874"/>
    <cellStyle name="Normal 3 7 14 2" xfId="3969"/>
    <cellStyle name="Normal 3 7 15" xfId="1875"/>
    <cellStyle name="Normal 3 7 15 2" xfId="3970"/>
    <cellStyle name="Normal 3 7 16" xfId="1876"/>
    <cellStyle name="Normal 3 7 16 2" xfId="3971"/>
    <cellStyle name="Normal 3 7 17" xfId="1877"/>
    <cellStyle name="Normal 3 7 17 2" xfId="3972"/>
    <cellStyle name="Normal 3 7 18" xfId="1878"/>
    <cellStyle name="Normal 3 7 18 2" xfId="3973"/>
    <cellStyle name="Normal 3 7 19" xfId="1879"/>
    <cellStyle name="Normal 3 7 19 2" xfId="3974"/>
    <cellStyle name="Normal 3 7 2" xfId="1880"/>
    <cellStyle name="Normal 3 7 2 2" xfId="3975"/>
    <cellStyle name="Normal 3 7 20" xfId="1881"/>
    <cellStyle name="Normal 3 7 20 2" xfId="3976"/>
    <cellStyle name="Normal 3 7 21" xfId="1882"/>
    <cellStyle name="Normal 3 7 21 2" xfId="3977"/>
    <cellStyle name="Normal 3 7 22" xfId="1883"/>
    <cellStyle name="Normal 3 7 22 2" xfId="3978"/>
    <cellStyle name="Normal 3 7 23" xfId="1884"/>
    <cellStyle name="Normal 3 7 23 2" xfId="3979"/>
    <cellStyle name="Normal 3 7 24" xfId="3980"/>
    <cellStyle name="Normal 3 7 3" xfId="1885"/>
    <cellStyle name="Normal 3 7 3 2" xfId="3981"/>
    <cellStyle name="Normal 3 7 4" xfId="1886"/>
    <cellStyle name="Normal 3 7 4 2" xfId="3982"/>
    <cellStyle name="Normal 3 7 5" xfId="1887"/>
    <cellStyle name="Normal 3 7 5 2" xfId="3983"/>
    <cellStyle name="Normal 3 7 6" xfId="1888"/>
    <cellStyle name="Normal 3 7 6 2" xfId="3984"/>
    <cellStyle name="Normal 3 7 7" xfId="1889"/>
    <cellStyle name="Normal 3 7 7 2" xfId="3985"/>
    <cellStyle name="Normal 3 7 8" xfId="1890"/>
    <cellStyle name="Normal 3 7 8 2" xfId="3986"/>
    <cellStyle name="Normal 3 7 9" xfId="1891"/>
    <cellStyle name="Normal 3 7 9 2" xfId="3987"/>
    <cellStyle name="Normal 3 8" xfId="1892"/>
    <cellStyle name="Normal 3 8 10" xfId="1893"/>
    <cellStyle name="Normal 3 8 10 2" xfId="3988"/>
    <cellStyle name="Normal 3 8 11" xfId="1894"/>
    <cellStyle name="Normal 3 8 11 2" xfId="3989"/>
    <cellStyle name="Normal 3 8 12" xfId="1895"/>
    <cellStyle name="Normal 3 8 12 2" xfId="3990"/>
    <cellStyle name="Normal 3 8 13" xfId="1896"/>
    <cellStyle name="Normal 3 8 13 2" xfId="3991"/>
    <cellStyle name="Normal 3 8 14" xfId="1897"/>
    <cellStyle name="Normal 3 8 14 2" xfId="3992"/>
    <cellStyle name="Normal 3 8 15" xfId="1898"/>
    <cellStyle name="Normal 3 8 15 2" xfId="3993"/>
    <cellStyle name="Normal 3 8 16" xfId="1899"/>
    <cellStyle name="Normal 3 8 16 2" xfId="3994"/>
    <cellStyle name="Normal 3 8 17" xfId="1900"/>
    <cellStyle name="Normal 3 8 17 2" xfId="3995"/>
    <cellStyle name="Normal 3 8 18" xfId="1901"/>
    <cellStyle name="Normal 3 8 18 2" xfId="3996"/>
    <cellStyle name="Normal 3 8 19" xfId="1902"/>
    <cellStyle name="Normal 3 8 19 2" xfId="3997"/>
    <cellStyle name="Normal 3 8 2" xfId="1903"/>
    <cellStyle name="Normal 3 8 2 2" xfId="3998"/>
    <cellStyle name="Normal 3 8 20" xfId="1904"/>
    <cellStyle name="Normal 3 8 20 2" xfId="3999"/>
    <cellStyle name="Normal 3 8 21" xfId="1905"/>
    <cellStyle name="Normal 3 8 21 2" xfId="4000"/>
    <cellStyle name="Normal 3 8 22" xfId="1906"/>
    <cellStyle name="Normal 3 8 22 2" xfId="4001"/>
    <cellStyle name="Normal 3 8 23" xfId="1907"/>
    <cellStyle name="Normal 3 8 23 2" xfId="4002"/>
    <cellStyle name="Normal 3 8 24" xfId="4003"/>
    <cellStyle name="Normal 3 8 3" xfId="1908"/>
    <cellStyle name="Normal 3 8 3 2" xfId="4004"/>
    <cellStyle name="Normal 3 8 4" xfId="1909"/>
    <cellStyle name="Normal 3 8 4 2" xfId="4005"/>
    <cellStyle name="Normal 3 8 5" xfId="1910"/>
    <cellStyle name="Normal 3 8 5 2" xfId="4006"/>
    <cellStyle name="Normal 3 8 6" xfId="1911"/>
    <cellStyle name="Normal 3 8 6 2" xfId="4007"/>
    <cellStyle name="Normal 3 8 7" xfId="1912"/>
    <cellStyle name="Normal 3 8 7 2" xfId="4008"/>
    <cellStyle name="Normal 3 8 8" xfId="1913"/>
    <cellStyle name="Normal 3 8 8 2" xfId="4009"/>
    <cellStyle name="Normal 3 8 9" xfId="1914"/>
    <cellStyle name="Normal 3 8 9 2" xfId="4010"/>
    <cellStyle name="Normal 3 9" xfId="1915"/>
    <cellStyle name="Normal 3 9 10" xfId="1916"/>
    <cellStyle name="Normal 3 9 10 2" xfId="4011"/>
    <cellStyle name="Normal 3 9 11" xfId="1917"/>
    <cellStyle name="Normal 3 9 11 2" xfId="4012"/>
    <cellStyle name="Normal 3 9 12" xfId="1918"/>
    <cellStyle name="Normal 3 9 12 2" xfId="4013"/>
    <cellStyle name="Normal 3 9 13" xfId="1919"/>
    <cellStyle name="Normal 3 9 13 2" xfId="4014"/>
    <cellStyle name="Normal 3 9 14" xfId="1920"/>
    <cellStyle name="Normal 3 9 14 2" xfId="4015"/>
    <cellStyle name="Normal 3 9 15" xfId="1921"/>
    <cellStyle name="Normal 3 9 15 2" xfId="4016"/>
    <cellStyle name="Normal 3 9 16" xfId="1922"/>
    <cellStyle name="Normal 3 9 16 2" xfId="4017"/>
    <cellStyle name="Normal 3 9 17" xfId="1923"/>
    <cellStyle name="Normal 3 9 17 2" xfId="4018"/>
    <cellStyle name="Normal 3 9 18" xfId="1924"/>
    <cellStyle name="Normal 3 9 18 2" xfId="4019"/>
    <cellStyle name="Normal 3 9 19" xfId="1925"/>
    <cellStyle name="Normal 3 9 19 2" xfId="4020"/>
    <cellStyle name="Normal 3 9 2" xfId="1926"/>
    <cellStyle name="Normal 3 9 2 2" xfId="4021"/>
    <cellStyle name="Normal 3 9 20" xfId="1927"/>
    <cellStyle name="Normal 3 9 20 2" xfId="4022"/>
    <cellStyle name="Normal 3 9 21" xfId="1928"/>
    <cellStyle name="Normal 3 9 21 2" xfId="4023"/>
    <cellStyle name="Normal 3 9 22" xfId="1929"/>
    <cellStyle name="Normal 3 9 22 2" xfId="4024"/>
    <cellStyle name="Normal 3 9 23" xfId="1930"/>
    <cellStyle name="Normal 3 9 23 2" xfId="4025"/>
    <cellStyle name="Normal 3 9 24" xfId="4026"/>
    <cellStyle name="Normal 3 9 3" xfId="1931"/>
    <cellStyle name="Normal 3 9 3 2" xfId="4027"/>
    <cellStyle name="Normal 3 9 4" xfId="1932"/>
    <cellStyle name="Normal 3 9 4 2" xfId="4028"/>
    <cellStyle name="Normal 3 9 5" xfId="1933"/>
    <cellStyle name="Normal 3 9 5 2" xfId="4029"/>
    <cellStyle name="Normal 3 9 6" xfId="1934"/>
    <cellStyle name="Normal 3 9 6 2" xfId="4030"/>
    <cellStyle name="Normal 3 9 7" xfId="1935"/>
    <cellStyle name="Normal 3 9 7 2" xfId="4031"/>
    <cellStyle name="Normal 3 9 8" xfId="1936"/>
    <cellStyle name="Normal 3 9 8 2" xfId="4032"/>
    <cellStyle name="Normal 3 9 9" xfId="1937"/>
    <cellStyle name="Normal 3 9 9 2" xfId="4033"/>
    <cellStyle name="Normal 30" xfId="4034"/>
    <cellStyle name="Normal 30 2" xfId="4035"/>
    <cellStyle name="Normal 31" xfId="4036"/>
    <cellStyle name="Normal 31 2" xfId="4037"/>
    <cellStyle name="Normal 32" xfId="1938"/>
    <cellStyle name="Normal 32 2" xfId="4038"/>
    <cellStyle name="Normal 33" xfId="1939"/>
    <cellStyle name="Normal 33 2" xfId="4039"/>
    <cellStyle name="Normal 34" xfId="1940"/>
    <cellStyle name="Normal 34 2" xfId="4040"/>
    <cellStyle name="Normal 35" xfId="1941"/>
    <cellStyle name="Normal 35 2" xfId="4041"/>
    <cellStyle name="Normal 36" xfId="4042"/>
    <cellStyle name="Normal 36 2" xfId="4043"/>
    <cellStyle name="Normal 37" xfId="1942"/>
    <cellStyle name="Normal 37 2" xfId="4044"/>
    <cellStyle name="Normal 38" xfId="1943"/>
    <cellStyle name="Normal 38 2" xfId="4045"/>
    <cellStyle name="Normal 39" xfId="1944"/>
    <cellStyle name="Normal 39 2" xfId="4046"/>
    <cellStyle name="Normal 4" xfId="1945"/>
    <cellStyle name="Normal 4 2" xfId="1946"/>
    <cellStyle name="Normal 4 2 2" xfId="1947"/>
    <cellStyle name="Normal 4 2 2 2" xfId="4047"/>
    <cellStyle name="Normal 4 3" xfId="1948"/>
    <cellStyle name="Normal 4 3 2" xfId="4048"/>
    <cellStyle name="Normal 4 4" xfId="4049"/>
    <cellStyle name="Normal 4 4 2" xfId="4050"/>
    <cellStyle name="Normal 4_Revised WB Constant Values" xfId="4051"/>
    <cellStyle name="Normal 40" xfId="1949"/>
    <cellStyle name="Normal 40 2" xfId="4052"/>
    <cellStyle name="Normal 41" xfId="1950"/>
    <cellStyle name="Normal 41 2" xfId="4053"/>
    <cellStyle name="Normal 42" xfId="1951"/>
    <cellStyle name="Normal 42 2" xfId="4054"/>
    <cellStyle name="Normal 43" xfId="4055"/>
    <cellStyle name="Normal 43 2" xfId="4056"/>
    <cellStyle name="Normal 44" xfId="4057"/>
    <cellStyle name="Normal 44 2" xfId="4058"/>
    <cellStyle name="Normal 45" xfId="4059"/>
    <cellStyle name="Normal 45 2" xfId="4060"/>
    <cellStyle name="Normal 46" xfId="4061"/>
    <cellStyle name="Normal 46 2" xfId="4062"/>
    <cellStyle name="Normal 47" xfId="4063"/>
    <cellStyle name="Normal 48" xfId="4064"/>
    <cellStyle name="Normal 49" xfId="55"/>
    <cellStyle name="Normal 5" xfId="1952"/>
    <cellStyle name="Normal 5 10" xfId="1953"/>
    <cellStyle name="Normal 5 10 2" xfId="4065"/>
    <cellStyle name="Normal 5 11" xfId="1954"/>
    <cellStyle name="Normal 5 11 2" xfId="4066"/>
    <cellStyle name="Normal 5 12" xfId="1955"/>
    <cellStyle name="Normal 5 12 2" xfId="4067"/>
    <cellStyle name="Normal 5 13" xfId="1956"/>
    <cellStyle name="Normal 5 13 2" xfId="4068"/>
    <cellStyle name="Normal 5 14" xfId="1957"/>
    <cellStyle name="Normal 5 14 2" xfId="4069"/>
    <cellStyle name="Normal 5 15" xfId="1958"/>
    <cellStyle name="Normal 5 15 2" xfId="4070"/>
    <cellStyle name="Normal 5 16" xfId="1959"/>
    <cellStyle name="Normal 5 16 2" xfId="4071"/>
    <cellStyle name="Normal 5 17" xfId="1960"/>
    <cellStyle name="Normal 5 17 2" xfId="4072"/>
    <cellStyle name="Normal 5 18" xfId="1961"/>
    <cellStyle name="Normal 5 18 2" xfId="4073"/>
    <cellStyle name="Normal 5 19" xfId="1962"/>
    <cellStyle name="Normal 5 19 2" xfId="4074"/>
    <cellStyle name="Normal 5 2" xfId="1963"/>
    <cellStyle name="Normal 5 2 10" xfId="1964"/>
    <cellStyle name="Normal 5 2 10 2" xfId="4075"/>
    <cellStyle name="Normal 5 2 11" xfId="1965"/>
    <cellStyle name="Normal 5 2 11 2" xfId="4076"/>
    <cellStyle name="Normal 5 2 12" xfId="1966"/>
    <cellStyle name="Normal 5 2 12 2" xfId="4077"/>
    <cellStyle name="Normal 5 2 13" xfId="1967"/>
    <cellStyle name="Normal 5 2 13 2" xfId="4078"/>
    <cellStyle name="Normal 5 2 14" xfId="1968"/>
    <cellStyle name="Normal 5 2 14 2" xfId="4079"/>
    <cellStyle name="Normal 5 2 15" xfId="1969"/>
    <cellStyle name="Normal 5 2 15 2" xfId="4080"/>
    <cellStyle name="Normal 5 2 16" xfId="1970"/>
    <cellStyle name="Normal 5 2 16 2" xfId="4081"/>
    <cellStyle name="Normal 5 2 17" xfId="1971"/>
    <cellStyle name="Normal 5 2 17 2" xfId="4082"/>
    <cellStyle name="Normal 5 2 18" xfId="1972"/>
    <cellStyle name="Normal 5 2 18 2" xfId="4083"/>
    <cellStyle name="Normal 5 2 19" xfId="1973"/>
    <cellStyle name="Normal 5 2 19 2" xfId="4084"/>
    <cellStyle name="Normal 5 2 2" xfId="1974"/>
    <cellStyle name="Normal 5 2 2 2" xfId="4085"/>
    <cellStyle name="Normal 5 2 20" xfId="1975"/>
    <cellStyle name="Normal 5 2 20 2" xfId="4086"/>
    <cellStyle name="Normal 5 2 21" xfId="1976"/>
    <cellStyle name="Normal 5 2 21 2" xfId="4087"/>
    <cellStyle name="Normal 5 2 22" xfId="1977"/>
    <cellStyle name="Normal 5 2 22 2" xfId="4088"/>
    <cellStyle name="Normal 5 2 23" xfId="1978"/>
    <cellStyle name="Normal 5 2 23 2" xfId="4089"/>
    <cellStyle name="Normal 5 2 24" xfId="4090"/>
    <cellStyle name="Normal 5 2 3" xfId="1979"/>
    <cellStyle name="Normal 5 2 3 2" xfId="4091"/>
    <cellStyle name="Normal 5 2 4" xfId="1980"/>
    <cellStyle name="Normal 5 2 4 2" xfId="4092"/>
    <cellStyle name="Normal 5 2 5" xfId="1981"/>
    <cellStyle name="Normal 5 2 5 2" xfId="4093"/>
    <cellStyle name="Normal 5 2 6" xfId="1982"/>
    <cellStyle name="Normal 5 2 6 2" xfId="4094"/>
    <cellStyle name="Normal 5 2 7" xfId="1983"/>
    <cellStyle name="Normal 5 2 7 2" xfId="4095"/>
    <cellStyle name="Normal 5 2 8" xfId="1984"/>
    <cellStyle name="Normal 5 2 8 2" xfId="4096"/>
    <cellStyle name="Normal 5 2 9" xfId="1985"/>
    <cellStyle name="Normal 5 2 9 2" xfId="4097"/>
    <cellStyle name="Normal 5 20" xfId="1986"/>
    <cellStyle name="Normal 5 20 2" xfId="4098"/>
    <cellStyle name="Normal 5 21" xfId="1987"/>
    <cellStyle name="Normal 5 21 2" xfId="4099"/>
    <cellStyle name="Normal 5 22" xfId="1988"/>
    <cellStyle name="Normal 5 22 2" xfId="4100"/>
    <cellStyle name="Normal 5 23" xfId="1989"/>
    <cellStyle name="Normal 5 23 2" xfId="4101"/>
    <cellStyle name="Normal 5 24" xfId="1990"/>
    <cellStyle name="Normal 5 24 2" xfId="4102"/>
    <cellStyle name="Normal 5 25" xfId="1991"/>
    <cellStyle name="Normal 5 25 2" xfId="4103"/>
    <cellStyle name="Normal 5 26" xfId="4104"/>
    <cellStyle name="Normal 5 3" xfId="1992"/>
    <cellStyle name="Normal 5 3 2" xfId="4105"/>
    <cellStyle name="Normal 5 4" xfId="1993"/>
    <cellStyle name="Normal 5 4 2" xfId="4106"/>
    <cellStyle name="Normal 5 5" xfId="1994"/>
    <cellStyle name="Normal 5 5 2" xfId="4107"/>
    <cellStyle name="Normal 5 6" xfId="1995"/>
    <cellStyle name="Normal 5 6 2" xfId="4108"/>
    <cellStyle name="Normal 5 7" xfId="1996"/>
    <cellStyle name="Normal 5 7 2" xfId="4109"/>
    <cellStyle name="Normal 5 8" xfId="1997"/>
    <cellStyle name="Normal 5 8 2" xfId="4110"/>
    <cellStyle name="Normal 5 9" xfId="1998"/>
    <cellStyle name="Normal 5 9 2" xfId="4111"/>
    <cellStyle name="Normal 5_Revised WB Constant Values" xfId="4112"/>
    <cellStyle name="Normal 50" xfId="56"/>
    <cellStyle name="Normal 51" xfId="4113"/>
    <cellStyle name="Normal 52" xfId="4114"/>
    <cellStyle name="Normal 53" xfId="4115"/>
    <cellStyle name="Normal 54" xfId="4116"/>
    <cellStyle name="Normal 55" xfId="4117"/>
    <cellStyle name="Normal 56" xfId="4118"/>
    <cellStyle name="Normal 57" xfId="4119"/>
    <cellStyle name="Normal 58" xfId="4120"/>
    <cellStyle name="Normal 59" xfId="4121"/>
    <cellStyle name="Normal 6" xfId="51"/>
    <cellStyle name="Normal 6 2" xfId="1999"/>
    <cellStyle name="Normal 6 2 2" xfId="4122"/>
    <cellStyle name="Normal 60" xfId="4123"/>
    <cellStyle name="Normal 61" xfId="4124"/>
    <cellStyle name="Normal 62" xfId="4125"/>
    <cellStyle name="Normal 63" xfId="4126"/>
    <cellStyle name="Normal 64" xfId="4127"/>
    <cellStyle name="Normal 65" xfId="4128"/>
    <cellStyle name="Normal 7" xfId="2000"/>
    <cellStyle name="Normal 7 10" xfId="2001"/>
    <cellStyle name="Normal 7 10 2" xfId="4129"/>
    <cellStyle name="Normal 7 11" xfId="2002"/>
    <cellStyle name="Normal 7 11 2" xfId="4130"/>
    <cellStyle name="Normal 7 12" xfId="2003"/>
    <cellStyle name="Normal 7 12 2" xfId="4131"/>
    <cellStyle name="Normal 7 13" xfId="2004"/>
    <cellStyle name="Normal 7 13 2" xfId="4132"/>
    <cellStyle name="Normal 7 14" xfId="2005"/>
    <cellStyle name="Normal 7 14 2" xfId="4133"/>
    <cellStyle name="Normal 7 15" xfId="2006"/>
    <cellStyle name="Normal 7 15 2" xfId="4134"/>
    <cellStyle name="Normal 7 16" xfId="2007"/>
    <cellStyle name="Normal 7 16 2" xfId="4135"/>
    <cellStyle name="Normal 7 17" xfId="2008"/>
    <cellStyle name="Normal 7 17 2" xfId="4136"/>
    <cellStyle name="Normal 7 18" xfId="2009"/>
    <cellStyle name="Normal 7 18 2" xfId="4137"/>
    <cellStyle name="Normal 7 19" xfId="2010"/>
    <cellStyle name="Normal 7 19 2" xfId="4138"/>
    <cellStyle name="Normal 7 2" xfId="2011"/>
    <cellStyle name="Normal 7 2 10" xfId="2012"/>
    <cellStyle name="Normal 7 2 10 2" xfId="4139"/>
    <cellStyle name="Normal 7 2 11" xfId="2013"/>
    <cellStyle name="Normal 7 2 11 2" xfId="4140"/>
    <cellStyle name="Normal 7 2 12" xfId="2014"/>
    <cellStyle name="Normal 7 2 12 2" xfId="4141"/>
    <cellStyle name="Normal 7 2 13" xfId="2015"/>
    <cellStyle name="Normal 7 2 13 2" xfId="4142"/>
    <cellStyle name="Normal 7 2 14" xfId="2016"/>
    <cellStyle name="Normal 7 2 14 2" xfId="4143"/>
    <cellStyle name="Normal 7 2 15" xfId="2017"/>
    <cellStyle name="Normal 7 2 15 2" xfId="4144"/>
    <cellStyle name="Normal 7 2 16" xfId="2018"/>
    <cellStyle name="Normal 7 2 16 2" xfId="4145"/>
    <cellStyle name="Normal 7 2 17" xfId="2019"/>
    <cellStyle name="Normal 7 2 17 2" xfId="4146"/>
    <cellStyle name="Normal 7 2 18" xfId="2020"/>
    <cellStyle name="Normal 7 2 18 2" xfId="4147"/>
    <cellStyle name="Normal 7 2 19" xfId="2021"/>
    <cellStyle name="Normal 7 2 19 2" xfId="4148"/>
    <cellStyle name="Normal 7 2 2" xfId="2022"/>
    <cellStyle name="Normal 7 2 2 2" xfId="4149"/>
    <cellStyle name="Normal 7 2 20" xfId="2023"/>
    <cellStyle name="Normal 7 2 20 2" xfId="4150"/>
    <cellStyle name="Normal 7 2 21" xfId="2024"/>
    <cellStyle name="Normal 7 2 21 2" xfId="4151"/>
    <cellStyle name="Normal 7 2 22" xfId="2025"/>
    <cellStyle name="Normal 7 2 22 2" xfId="4152"/>
    <cellStyle name="Normal 7 2 23" xfId="2026"/>
    <cellStyle name="Normal 7 2 23 2" xfId="4153"/>
    <cellStyle name="Normal 7 2 24" xfId="4154"/>
    <cellStyle name="Normal 7 2 3" xfId="2027"/>
    <cellStyle name="Normal 7 2 3 2" xfId="4155"/>
    <cellStyle name="Normal 7 2 4" xfId="2028"/>
    <cellStyle name="Normal 7 2 4 2" xfId="4156"/>
    <cellStyle name="Normal 7 2 5" xfId="2029"/>
    <cellStyle name="Normal 7 2 5 2" xfId="4157"/>
    <cellStyle name="Normal 7 2 6" xfId="2030"/>
    <cellStyle name="Normal 7 2 6 2" xfId="4158"/>
    <cellStyle name="Normal 7 2 7" xfId="2031"/>
    <cellStyle name="Normal 7 2 7 2" xfId="4159"/>
    <cellStyle name="Normal 7 2 8" xfId="2032"/>
    <cellStyle name="Normal 7 2 8 2" xfId="4160"/>
    <cellStyle name="Normal 7 2 9" xfId="2033"/>
    <cellStyle name="Normal 7 2 9 2" xfId="4161"/>
    <cellStyle name="Normal 7 20" xfId="2034"/>
    <cellStyle name="Normal 7 20 2" xfId="4162"/>
    <cellStyle name="Normal 7 21" xfId="2035"/>
    <cellStyle name="Normal 7 21 2" xfId="4163"/>
    <cellStyle name="Normal 7 22" xfId="2036"/>
    <cellStyle name="Normal 7 22 2" xfId="4164"/>
    <cellStyle name="Normal 7 23" xfId="2037"/>
    <cellStyle name="Normal 7 23 2" xfId="4165"/>
    <cellStyle name="Normal 7 24" xfId="2038"/>
    <cellStyle name="Normal 7 24 2" xfId="4166"/>
    <cellStyle name="Normal 7 25" xfId="2039"/>
    <cellStyle name="Normal 7 25 2" xfId="4167"/>
    <cellStyle name="Normal 7 3" xfId="2040"/>
    <cellStyle name="Normal 7 3 2" xfId="4168"/>
    <cellStyle name="Normal 7 4" xfId="2041"/>
    <cellStyle name="Normal 7 4 2" xfId="4169"/>
    <cellStyle name="Normal 7 5" xfId="2042"/>
    <cellStyle name="Normal 7 5 2" xfId="4170"/>
    <cellStyle name="Normal 7 6" xfId="2043"/>
    <cellStyle name="Normal 7 6 2" xfId="4171"/>
    <cellStyle name="Normal 7 7" xfId="2044"/>
    <cellStyle name="Normal 7 7 2" xfId="4172"/>
    <cellStyle name="Normal 7 8" xfId="2045"/>
    <cellStyle name="Normal 7 8 2" xfId="4173"/>
    <cellStyle name="Normal 7 9" xfId="2046"/>
    <cellStyle name="Normal 7 9 2" xfId="4174"/>
    <cellStyle name="Normal 8" xfId="46"/>
    <cellStyle name="Normal 8 2" xfId="2047"/>
    <cellStyle name="Normal 8 2 2" xfId="4175"/>
    <cellStyle name="Normal 8 2 2 2" xfId="4176"/>
    <cellStyle name="Normal 8 2 2 3" xfId="4177"/>
    <cellStyle name="Normal 8 2 3" xfId="4178"/>
    <cellStyle name="Normal 8 2 3 2" xfId="4179"/>
    <cellStyle name="Normal 8 2 4" xfId="4180"/>
    <cellStyle name="Normal 8 2 5" xfId="4181"/>
    <cellStyle name="Normal 8 2 6" xfId="4182"/>
    <cellStyle name="Normal 8 3" xfId="2048"/>
    <cellStyle name="Normal 8 3 2" xfId="4183"/>
    <cellStyle name="Normal 8 3 2 2" xfId="4184"/>
    <cellStyle name="Normal 8 3 2 3" xfId="4185"/>
    <cellStyle name="Normal 8 3 3" xfId="4186"/>
    <cellStyle name="Normal 8 3 3 2" xfId="4187"/>
    <cellStyle name="Normal 8 3 4" xfId="4188"/>
    <cellStyle name="Normal 8 3 5" xfId="4189"/>
    <cellStyle name="Normal 8 3 6" xfId="4190"/>
    <cellStyle name="Normal 8 4" xfId="2049"/>
    <cellStyle name="Normal 8 4 2" xfId="4191"/>
    <cellStyle name="Normal 8 4 2 2" xfId="4192"/>
    <cellStyle name="Normal 8 4 2 3" xfId="4193"/>
    <cellStyle name="Normal 8 4 3" xfId="4194"/>
    <cellStyle name="Normal 8 4 3 2" xfId="4195"/>
    <cellStyle name="Normal 8 4 4" xfId="4196"/>
    <cellStyle name="Normal 8 4 5" xfId="4197"/>
    <cellStyle name="Normal 8 4 6" xfId="4198"/>
    <cellStyle name="Normal 8 5" xfId="2050"/>
    <cellStyle name="Normal 8 5 2" xfId="4199"/>
    <cellStyle name="Normal 8 5 2 2" xfId="4200"/>
    <cellStyle name="Normal 8 5 2 3" xfId="4201"/>
    <cellStyle name="Normal 8 5 3" xfId="4202"/>
    <cellStyle name="Normal 8 5 3 2" xfId="4203"/>
    <cellStyle name="Normal 8 5 4" xfId="4204"/>
    <cellStyle name="Normal 8 5 5" xfId="4205"/>
    <cellStyle name="Normal 8 5 6" xfId="4206"/>
    <cellStyle name="Normal 8 6" xfId="2051"/>
    <cellStyle name="Normal 8 6 2" xfId="4207"/>
    <cellStyle name="Normal 8 6 2 2" xfId="4208"/>
    <cellStyle name="Normal 8 6 2 3" xfId="4209"/>
    <cellStyle name="Normal 8 6 3" xfId="4210"/>
    <cellStyle name="Normal 8 6 3 2" xfId="4211"/>
    <cellStyle name="Normal 8 6 4" xfId="4212"/>
    <cellStyle name="Normal 8 6 5" xfId="4213"/>
    <cellStyle name="Normal 8 6 6" xfId="4214"/>
    <cellStyle name="Normal 8 7" xfId="2052"/>
    <cellStyle name="Normal 8 7 2" xfId="4215"/>
    <cellStyle name="Normal 8 8" xfId="4216"/>
    <cellStyle name="Normal 9" xfId="2053"/>
    <cellStyle name="Normal 9 2" xfId="2054"/>
    <cellStyle name="Normal 9 2 2" xfId="4217"/>
    <cellStyle name="Normal 9 3" xfId="4218"/>
    <cellStyle name="Note" xfId="15" builtinId="10" customBuiltin="1"/>
    <cellStyle name="Note 2" xfId="2055"/>
    <cellStyle name="Note 2 2" xfId="4219"/>
    <cellStyle name="Note 3" xfId="4220"/>
    <cellStyle name="Note 3 2" xfId="4221"/>
    <cellStyle name="Note 4" xfId="4222"/>
    <cellStyle name="Output" xfId="10" builtinId="21" customBuiltin="1"/>
    <cellStyle name="Output 2" xfId="2056"/>
    <cellStyle name="Output 2 2" xfId="4223"/>
    <cellStyle name="Output 3" xfId="4224"/>
    <cellStyle name="Output 3 2" xfId="4225"/>
    <cellStyle name="Percent" xfId="4240" builtinId="5"/>
    <cellStyle name="Percent 2" xfId="47"/>
    <cellStyle name="Percent 2 2" xfId="2057"/>
    <cellStyle name="Percent 2 3" xfId="2058"/>
    <cellStyle name="Percent 2 4" xfId="2059"/>
    <cellStyle name="Percent 2 5" xfId="2060"/>
    <cellStyle name="Percent 2 6" xfId="2061"/>
    <cellStyle name="Percent 2 7" xfId="2062"/>
    <cellStyle name="Percent 2 8" xfId="2063"/>
    <cellStyle name="Percent 3" xfId="2064"/>
    <cellStyle name="Percent 4" xfId="2065"/>
    <cellStyle name="Percent 5" xfId="2066"/>
    <cellStyle name="Percent 5 2" xfId="4226"/>
    <cellStyle name="Percent 5 2 2" xfId="4227"/>
    <cellStyle name="Percent 5 3" xfId="4228"/>
    <cellStyle name="Percent 5 4" xfId="4229"/>
    <cellStyle name="Percent 5 5" xfId="4230"/>
    <cellStyle name="Percent 6" xfId="4231"/>
    <cellStyle name="Title" xfId="1" builtinId="15" customBuiltin="1"/>
    <cellStyle name="Title 2" xfId="2067"/>
    <cellStyle name="Title 2 2" xfId="4232"/>
    <cellStyle name="Title 3" xfId="4233"/>
    <cellStyle name="Total" xfId="17" builtinId="25" customBuiltin="1"/>
    <cellStyle name="Total 2" xfId="2068"/>
    <cellStyle name="Total 2 2" xfId="4234"/>
    <cellStyle name="Total 3" xfId="4235"/>
    <cellStyle name="Total 3 2" xfId="4236"/>
    <cellStyle name="Warning Text" xfId="14" builtinId="11" customBuiltin="1"/>
    <cellStyle name="Warning Text 2" xfId="2069"/>
    <cellStyle name="Warning Text 2 2" xfId="4237"/>
    <cellStyle name="Warning Text 3" xfId="4238"/>
    <cellStyle name="Warning Text 3 2" xfId="4239"/>
  </cellStyles>
  <dxfs count="0"/>
  <tableStyles count="0" defaultTableStyle="TableStyleMedium2" defaultPivotStyle="PivotStyleLight16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EARTeamReviewBackup!$AF$45</c:f>
              <c:strCache>
                <c:ptCount val="1"/>
                <c:pt idx="0">
                  <c:v>Fraction</c:v>
                </c:pt>
              </c:strCache>
            </c:strRef>
          </c:tx>
          <c:xVal>
            <c:numRef>
              <c:f>EARTeamReviewBackup!$AE$46:$AE$69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EARTeamReviewBackup!$AF$46:$AF$69</c:f>
              <c:numCache>
                <c:formatCode>0.000</c:formatCode>
                <c:ptCount val="24"/>
                <c:pt idx="0">
                  <c:v>9.3457939999999993E-3</c:v>
                </c:pt>
                <c:pt idx="1">
                  <c:v>7.476636E-3</c:v>
                </c:pt>
                <c:pt idx="2">
                  <c:v>3.738318E-3</c:v>
                </c:pt>
                <c:pt idx="3">
                  <c:v>3.738318E-3</c:v>
                </c:pt>
                <c:pt idx="4">
                  <c:v>7.476636E-3</c:v>
                </c:pt>
                <c:pt idx="5">
                  <c:v>1.1214953E-2</c:v>
                </c:pt>
                <c:pt idx="6">
                  <c:v>2.2429906999999999E-2</c:v>
                </c:pt>
                <c:pt idx="7">
                  <c:v>4.8598131000000003E-2</c:v>
                </c:pt>
                <c:pt idx="8">
                  <c:v>7.2897195999999997E-2</c:v>
                </c:pt>
                <c:pt idx="9">
                  <c:v>8.5981308000000006E-2</c:v>
                </c:pt>
                <c:pt idx="10">
                  <c:v>8.4112149999999997E-2</c:v>
                </c:pt>
                <c:pt idx="11">
                  <c:v>7.4766355000000007E-2</c:v>
                </c:pt>
                <c:pt idx="12">
                  <c:v>6.7289719999999997E-2</c:v>
                </c:pt>
                <c:pt idx="13">
                  <c:v>5.9813084000000002E-2</c:v>
                </c:pt>
                <c:pt idx="14">
                  <c:v>5.2336449E-2</c:v>
                </c:pt>
                <c:pt idx="15">
                  <c:v>4.8598131000000003E-2</c:v>
                </c:pt>
                <c:pt idx="16">
                  <c:v>5.0467289999999998E-2</c:v>
                </c:pt>
                <c:pt idx="17">
                  <c:v>4.8598131000000003E-2</c:v>
                </c:pt>
                <c:pt idx="18">
                  <c:v>4.8598131000000003E-2</c:v>
                </c:pt>
                <c:pt idx="19">
                  <c:v>4.8598131000000003E-2</c:v>
                </c:pt>
                <c:pt idx="20">
                  <c:v>4.8598131000000003E-2</c:v>
                </c:pt>
                <c:pt idx="21">
                  <c:v>4.6728972000000001E-2</c:v>
                </c:pt>
                <c:pt idx="22">
                  <c:v>3.1775701000000003E-2</c:v>
                </c:pt>
                <c:pt idx="23">
                  <c:v>1.6822429999999999E-2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428288"/>
        <c:axId val="131428864"/>
      </c:scatterChart>
      <c:valAx>
        <c:axId val="131428288"/>
        <c:scaling>
          <c:orientation val="minMax"/>
          <c:max val="24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of Day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428864"/>
        <c:crosses val="autoZero"/>
        <c:crossBetween val="midCat"/>
        <c:majorUnit val="1"/>
      </c:valAx>
      <c:valAx>
        <c:axId val="1314288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Fraction of Daily Usage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428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EARTeamReviewBackup!$AU$45</c:f>
              <c:strCache>
                <c:ptCount val="1"/>
                <c:pt idx="0">
                  <c:v>Fraction</c:v>
                </c:pt>
              </c:strCache>
            </c:strRef>
          </c:tx>
          <c:xVal>
            <c:numRef>
              <c:f>EARTeamReviewBackup!$AT$46:$AT$69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EARTeamReviewBackup!$AU$46:$AU$69</c:f>
              <c:numCache>
                <c:formatCode>0.000</c:formatCode>
                <c:ptCount val="24"/>
                <c:pt idx="0">
                  <c:v>3.4410248540092747E-3</c:v>
                </c:pt>
                <c:pt idx="1">
                  <c:v>3.9757616333060859E-3</c:v>
                </c:pt>
                <c:pt idx="2">
                  <c:v>1.6345500133115325E-3</c:v>
                </c:pt>
                <c:pt idx="3">
                  <c:v>4.0758825621957017E-3</c:v>
                </c:pt>
                <c:pt idx="4">
                  <c:v>4.7977140065892715E-3</c:v>
                </c:pt>
                <c:pt idx="5">
                  <c:v>1.1243378049801061E-2</c:v>
                </c:pt>
                <c:pt idx="6">
                  <c:v>2.3085964689168754E-2</c:v>
                </c:pt>
                <c:pt idx="7">
                  <c:v>3.7388593343930306E-2</c:v>
                </c:pt>
                <c:pt idx="8">
                  <c:v>5.0844239393186261E-2</c:v>
                </c:pt>
                <c:pt idx="9">
                  <c:v>5.6409041526672234E-2</c:v>
                </c:pt>
                <c:pt idx="10">
                  <c:v>5.6473513336942067E-2</c:v>
                </c:pt>
                <c:pt idx="11">
                  <c:v>6.4589376512085184E-2</c:v>
                </c:pt>
                <c:pt idx="12">
                  <c:v>6.2038315470428054E-2</c:v>
                </c:pt>
                <c:pt idx="13">
                  <c:v>6.400533776022907E-2</c:v>
                </c:pt>
                <c:pt idx="14">
                  <c:v>6.0621199797634362E-2</c:v>
                </c:pt>
                <c:pt idx="15">
                  <c:v>5.7237061835039633E-2</c:v>
                </c:pt>
                <c:pt idx="16">
                  <c:v>6.4880131734870672E-2</c:v>
                </c:pt>
                <c:pt idx="17">
                  <c:v>7.7300436360381738E-2</c:v>
                </c:pt>
                <c:pt idx="18">
                  <c:v>7.4966809659242462E-2</c:v>
                </c:pt>
                <c:pt idx="19">
                  <c:v>7.0876010089964719E-2</c:v>
                </c:pt>
                <c:pt idx="20">
                  <c:v>5.212356237344247E-2</c:v>
                </c:pt>
                <c:pt idx="21">
                  <c:v>4.5390682736244296E-2</c:v>
                </c:pt>
                <c:pt idx="22">
                  <c:v>2.8762012299198749E-2</c:v>
                </c:pt>
                <c:pt idx="23">
                  <c:v>2.383939996212597E-2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430592"/>
        <c:axId val="131431168"/>
      </c:scatterChart>
      <c:valAx>
        <c:axId val="131430592"/>
        <c:scaling>
          <c:orientation val="minMax"/>
          <c:max val="24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of Day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431168"/>
        <c:crosses val="autoZero"/>
        <c:crossBetween val="midCat"/>
        <c:majorUnit val="1"/>
      </c:valAx>
      <c:valAx>
        <c:axId val="131431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Fraction of Daily Usage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430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25</xdr:row>
      <xdr:rowOff>0</xdr:rowOff>
    </xdr:from>
    <xdr:to>
      <xdr:col>6</xdr:col>
      <xdr:colOff>0</xdr:colOff>
      <xdr:row>28</xdr:row>
      <xdr:rowOff>0</xdr:rowOff>
    </xdr:to>
    <xdr:cxnSp macro="">
      <xdr:nvCxnSpPr>
        <xdr:cNvPr id="130" name="Straight Connector 129"/>
        <xdr:cNvCxnSpPr/>
      </xdr:nvCxnSpPr>
      <xdr:spPr>
        <a:xfrm>
          <a:off x="3657600" y="4381500"/>
          <a:ext cx="0" cy="571500"/>
        </a:xfrm>
        <a:prstGeom prst="line">
          <a:avLst/>
        </a:prstGeom>
        <a:ln w="25400"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23</xdr:row>
      <xdr:rowOff>0</xdr:rowOff>
    </xdr:from>
    <xdr:to>
      <xdr:col>8</xdr:col>
      <xdr:colOff>0</xdr:colOff>
      <xdr:row>23</xdr:row>
      <xdr:rowOff>0</xdr:rowOff>
    </xdr:to>
    <xdr:cxnSp macro="">
      <xdr:nvCxnSpPr>
        <xdr:cNvPr id="121" name="Straight Connector 120"/>
        <xdr:cNvCxnSpPr/>
      </xdr:nvCxnSpPr>
      <xdr:spPr>
        <a:xfrm>
          <a:off x="4876800" y="4000500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42048</xdr:colOff>
      <xdr:row>3</xdr:row>
      <xdr:rowOff>520</xdr:rowOff>
    </xdr:from>
    <xdr:to>
      <xdr:col>14</xdr:col>
      <xdr:colOff>176288</xdr:colOff>
      <xdr:row>43</xdr:row>
      <xdr:rowOff>0</xdr:rowOff>
    </xdr:to>
    <xdr:grpSp>
      <xdr:nvGrpSpPr>
        <xdr:cNvPr id="134" name="Group 133"/>
        <xdr:cNvGrpSpPr/>
      </xdr:nvGrpSpPr>
      <xdr:grpSpPr>
        <a:xfrm>
          <a:off x="651648" y="549160"/>
          <a:ext cx="8059040" cy="7314680"/>
          <a:chOff x="651648" y="191020"/>
          <a:chExt cx="8059040" cy="7619480"/>
        </a:xfrm>
      </xdr:grpSpPr>
      <xdr:grpSp>
        <xdr:nvGrpSpPr>
          <xdr:cNvPr id="133" name="Group 132"/>
          <xdr:cNvGrpSpPr/>
        </xdr:nvGrpSpPr>
        <xdr:grpSpPr>
          <a:xfrm>
            <a:off x="651648" y="191020"/>
            <a:ext cx="8059040" cy="6452950"/>
            <a:chOff x="651648" y="191020"/>
            <a:chExt cx="8059040" cy="6452950"/>
          </a:xfrm>
        </xdr:grpSpPr>
        <xdr:sp macro="" textlink="">
          <xdr:nvSpPr>
            <xdr:cNvPr id="128" name="Freeform 127"/>
            <xdr:cNvSpPr/>
          </xdr:nvSpPr>
          <xdr:spPr>
            <a:xfrm>
              <a:off x="2868811" y="3587056"/>
              <a:ext cx="1646039" cy="823019"/>
            </a:xfrm>
            <a:custGeom>
              <a:avLst/>
              <a:gdLst>
                <a:gd name="connsiteX0" fmla="*/ 0 w 1646039"/>
                <a:gd name="connsiteY0" fmla="*/ 0 h 823019"/>
                <a:gd name="connsiteX1" fmla="*/ 1646039 w 1646039"/>
                <a:gd name="connsiteY1" fmla="*/ 0 h 823019"/>
                <a:gd name="connsiteX2" fmla="*/ 1646039 w 1646039"/>
                <a:gd name="connsiteY2" fmla="*/ 823019 h 823019"/>
                <a:gd name="connsiteX3" fmla="*/ 0 w 1646039"/>
                <a:gd name="connsiteY3" fmla="*/ 823019 h 823019"/>
                <a:gd name="connsiteX4" fmla="*/ 0 w 1646039"/>
                <a:gd name="connsiteY4" fmla="*/ 0 h 82301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646039" h="823019">
                  <a:moveTo>
                    <a:pt x="0" y="0"/>
                  </a:moveTo>
                  <a:lnTo>
                    <a:pt x="1646039" y="0"/>
                  </a:lnTo>
                  <a:lnTo>
                    <a:pt x="1646039" y="823019"/>
                  </a:lnTo>
                  <a:lnTo>
                    <a:pt x="0" y="823019"/>
                  </a:lnTo>
                  <a:lnTo>
                    <a:pt x="0" y="0"/>
                  </a:lnTo>
                  <a:close/>
                </a:path>
              </a:pathLst>
            </a:custGeom>
            <a:pattFill prst="dkUpDiag">
              <a:fgClr>
                <a:schemeClr val="accent3"/>
              </a:fgClr>
              <a:bgClr>
                <a:schemeClr val="bg1"/>
              </a:bgClr>
            </a:pattFill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 spcFirstLastPara="0" vert="horz" wrap="square" lIns="9525" tIns="9525" rIns="9525" bIns="9525" numCol="1" spcCol="1270" anchor="ctr" anchorCtr="0">
              <a:noAutofit/>
            </a:bodyPr>
            <a:lstStyle/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b="0" kern="1200">
                  <a:solidFill>
                    <a:schemeClr val="tx1">
                      <a:lumMod val="85000"/>
                      <a:lumOff val="15000"/>
                    </a:schemeClr>
                  </a:solidFill>
                </a:rPr>
                <a:t>UES = Baseline UEC</a:t>
              </a:r>
            </a:p>
          </xdr:txBody>
        </xdr:sp>
        <xdr:grpSp>
          <xdr:nvGrpSpPr>
            <xdr:cNvPr id="125" name="Group 124"/>
            <xdr:cNvGrpSpPr/>
          </xdr:nvGrpSpPr>
          <xdr:grpSpPr>
            <a:xfrm>
              <a:off x="4267200" y="3048000"/>
              <a:ext cx="1219200" cy="952500"/>
              <a:chOff x="4267200" y="3048000"/>
              <a:chExt cx="1219200" cy="952500"/>
            </a:xfrm>
          </xdr:grpSpPr>
          <xdr:cxnSp macro="">
            <xdr:nvCxnSpPr>
              <xdr:cNvPr id="111" name="Straight Connector 110"/>
              <xdr:cNvCxnSpPr/>
            </xdr:nvCxnSpPr>
            <xdr:spPr>
              <a:xfrm>
                <a:off x="4267200" y="3048000"/>
                <a:ext cx="609600" cy="0"/>
              </a:xfrm>
              <a:prstGeom prst="line">
                <a:avLst/>
              </a:prstGeom>
              <a:ln w="25400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13" name="Straight Connector 112"/>
              <xdr:cNvCxnSpPr/>
            </xdr:nvCxnSpPr>
            <xdr:spPr>
              <a:xfrm>
                <a:off x="4876800" y="3048000"/>
                <a:ext cx="0" cy="952500"/>
              </a:xfrm>
              <a:prstGeom prst="line">
                <a:avLst/>
              </a:prstGeom>
              <a:ln w="25400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24" name="Straight Connector 123"/>
              <xdr:cNvCxnSpPr/>
            </xdr:nvCxnSpPr>
            <xdr:spPr>
              <a:xfrm>
                <a:off x="4876800" y="4000500"/>
                <a:ext cx="609600" cy="0"/>
              </a:xfrm>
              <a:prstGeom prst="line">
                <a:avLst/>
              </a:prstGeom>
              <a:ln w="25400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76" name="Freeform 75"/>
            <xdr:cNvSpPr/>
          </xdr:nvSpPr>
          <xdr:spPr>
            <a:xfrm rot="746418" flipH="1">
              <a:off x="7561854" y="5557099"/>
              <a:ext cx="359049" cy="517461"/>
            </a:xfrm>
            <a:custGeom>
              <a:avLst/>
              <a:gdLst/>
              <a:ahLst/>
              <a:cxnLst/>
              <a:rect l="0" t="0" r="0" b="0"/>
              <a:pathLst>
                <a:path>
                  <a:moveTo>
                    <a:pt x="141295" y="0"/>
                  </a:moveTo>
                  <a:lnTo>
                    <a:pt x="0" y="543670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80000"/>
                <a:hueOff val="0"/>
                <a:satOff val="0"/>
                <a:lumOff val="0"/>
                <a:alphaOff val="0"/>
              </a:schemeClr>
            </a:lnRef>
            <a:fillRef idx="0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tx1">
                <a:hueOff val="0"/>
                <a:satOff val="0"/>
                <a:lumOff val="0"/>
                <a:alphaOff val="0"/>
              </a:schemeClr>
            </a:fontRef>
          </xdr:style>
        </xdr:sp>
        <xdr:sp macro="" textlink="">
          <xdr:nvSpPr>
            <xdr:cNvPr id="77" name="Freeform 76"/>
            <xdr:cNvSpPr/>
          </xdr:nvSpPr>
          <xdr:spPr>
            <a:xfrm>
              <a:off x="7818640" y="4520103"/>
              <a:ext cx="91440" cy="345668"/>
            </a:xfrm>
            <a:custGeom>
              <a:avLst/>
              <a:gdLst/>
              <a:ahLst/>
              <a:cxnLst/>
              <a:rect l="0" t="0" r="0" b="0"/>
              <a:pathLst>
                <a:path>
                  <a:moveTo>
                    <a:pt x="45720" y="0"/>
                  </a:moveTo>
                  <a:lnTo>
                    <a:pt x="45720" y="345668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80000"/>
                <a:hueOff val="0"/>
                <a:satOff val="0"/>
                <a:lumOff val="0"/>
                <a:alphaOff val="0"/>
              </a:schemeClr>
            </a:lnRef>
            <a:fillRef idx="0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tx1">
                <a:hueOff val="0"/>
                <a:satOff val="0"/>
                <a:lumOff val="0"/>
                <a:alphaOff val="0"/>
              </a:schemeClr>
            </a:fontRef>
          </xdr:style>
        </xdr:sp>
        <xdr:sp macro="" textlink="">
          <xdr:nvSpPr>
            <xdr:cNvPr id="78" name="Freeform 77"/>
            <xdr:cNvSpPr/>
          </xdr:nvSpPr>
          <xdr:spPr>
            <a:xfrm>
              <a:off x="6672974" y="3330823"/>
              <a:ext cx="1191386" cy="366260"/>
            </a:xfrm>
            <a:custGeom>
              <a:avLst/>
              <a:gdLst/>
              <a:ahLst/>
              <a:cxnLst/>
              <a:rect l="0" t="0" r="0" b="0"/>
              <a:pathLst>
                <a:path>
                  <a:moveTo>
                    <a:pt x="0" y="0"/>
                  </a:moveTo>
                  <a:lnTo>
                    <a:pt x="0" y="193426"/>
                  </a:lnTo>
                  <a:lnTo>
                    <a:pt x="1191386" y="193426"/>
                  </a:lnTo>
                  <a:lnTo>
                    <a:pt x="1191386" y="366260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80000"/>
                <a:hueOff val="0"/>
                <a:satOff val="0"/>
                <a:lumOff val="0"/>
                <a:alphaOff val="0"/>
              </a:schemeClr>
            </a:lnRef>
            <a:fillRef idx="0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tx1">
                <a:hueOff val="0"/>
                <a:satOff val="0"/>
                <a:lumOff val="0"/>
                <a:alphaOff val="0"/>
              </a:schemeClr>
            </a:fontRef>
          </xdr:style>
        </xdr:sp>
        <xdr:sp macro="" textlink="">
          <xdr:nvSpPr>
            <xdr:cNvPr id="79" name="Freeform 78"/>
            <xdr:cNvSpPr/>
          </xdr:nvSpPr>
          <xdr:spPr>
            <a:xfrm>
              <a:off x="5872653" y="3330823"/>
              <a:ext cx="800320" cy="366260"/>
            </a:xfrm>
            <a:custGeom>
              <a:avLst/>
              <a:gdLst/>
              <a:ahLst/>
              <a:cxnLst/>
              <a:rect l="0" t="0" r="0" b="0"/>
              <a:pathLst>
                <a:path>
                  <a:moveTo>
                    <a:pt x="800320" y="0"/>
                  </a:moveTo>
                  <a:lnTo>
                    <a:pt x="800320" y="193426"/>
                  </a:lnTo>
                  <a:lnTo>
                    <a:pt x="0" y="193426"/>
                  </a:lnTo>
                  <a:lnTo>
                    <a:pt x="0" y="366260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80000"/>
                <a:hueOff val="0"/>
                <a:satOff val="0"/>
                <a:lumOff val="0"/>
                <a:alphaOff val="0"/>
              </a:schemeClr>
            </a:lnRef>
            <a:fillRef idx="0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tx1">
                <a:hueOff val="0"/>
                <a:satOff val="0"/>
                <a:lumOff val="0"/>
                <a:alphaOff val="0"/>
              </a:schemeClr>
            </a:fontRef>
          </xdr:style>
        </xdr:sp>
        <xdr:sp macro="" textlink="">
          <xdr:nvSpPr>
            <xdr:cNvPr id="80" name="Freeform 79"/>
            <xdr:cNvSpPr/>
          </xdr:nvSpPr>
          <xdr:spPr>
            <a:xfrm>
              <a:off x="5374726" y="2182728"/>
              <a:ext cx="1298247" cy="325076"/>
            </a:xfrm>
            <a:custGeom>
              <a:avLst/>
              <a:gdLst/>
              <a:ahLst/>
              <a:cxnLst/>
              <a:rect l="0" t="0" r="0" b="0"/>
              <a:pathLst>
                <a:path>
                  <a:moveTo>
                    <a:pt x="0" y="0"/>
                  </a:moveTo>
                  <a:lnTo>
                    <a:pt x="0" y="152242"/>
                  </a:lnTo>
                  <a:lnTo>
                    <a:pt x="1298247" y="152242"/>
                  </a:lnTo>
                  <a:lnTo>
                    <a:pt x="1298247" y="325076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80000"/>
                <a:hueOff val="0"/>
                <a:satOff val="0"/>
                <a:lumOff val="0"/>
                <a:alphaOff val="0"/>
              </a:schemeClr>
            </a:lnRef>
            <a:fillRef idx="0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tx1">
                <a:hueOff val="0"/>
                <a:satOff val="0"/>
                <a:lumOff val="0"/>
                <a:alphaOff val="0"/>
              </a:schemeClr>
            </a:fontRef>
          </xdr:style>
        </xdr:sp>
        <xdr:sp macro="" textlink="">
          <xdr:nvSpPr>
            <xdr:cNvPr id="87" name="Freeform 86"/>
            <xdr:cNvSpPr/>
          </xdr:nvSpPr>
          <xdr:spPr>
            <a:xfrm>
              <a:off x="3614706" y="3326865"/>
              <a:ext cx="91440" cy="231614"/>
            </a:xfrm>
            <a:custGeom>
              <a:avLst/>
              <a:gdLst/>
              <a:ahLst/>
              <a:cxnLst/>
              <a:rect l="0" t="0" r="0" b="0"/>
              <a:pathLst>
                <a:path>
                  <a:moveTo>
                    <a:pt x="45720" y="0"/>
                  </a:moveTo>
                  <a:lnTo>
                    <a:pt x="45720" y="58780"/>
                  </a:lnTo>
                  <a:lnTo>
                    <a:pt x="48551" y="58780"/>
                  </a:lnTo>
                  <a:lnTo>
                    <a:pt x="48551" y="231614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80000"/>
                <a:hueOff val="0"/>
                <a:satOff val="0"/>
                <a:lumOff val="0"/>
                <a:alphaOff val="0"/>
              </a:schemeClr>
            </a:lnRef>
            <a:fillRef idx="0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tx1">
                <a:hueOff val="0"/>
                <a:satOff val="0"/>
                <a:lumOff val="0"/>
                <a:alphaOff val="0"/>
              </a:schemeClr>
            </a:fontRef>
          </xdr:style>
        </xdr:sp>
        <xdr:sp macro="" textlink="">
          <xdr:nvSpPr>
            <xdr:cNvPr id="88" name="Freeform 87"/>
            <xdr:cNvSpPr/>
          </xdr:nvSpPr>
          <xdr:spPr>
            <a:xfrm>
              <a:off x="3660426" y="2182728"/>
              <a:ext cx="1714300" cy="321117"/>
            </a:xfrm>
            <a:custGeom>
              <a:avLst/>
              <a:gdLst/>
              <a:ahLst/>
              <a:cxnLst/>
              <a:rect l="0" t="0" r="0" b="0"/>
              <a:pathLst>
                <a:path>
                  <a:moveTo>
                    <a:pt x="1714300" y="0"/>
                  </a:moveTo>
                  <a:lnTo>
                    <a:pt x="1714300" y="148283"/>
                  </a:lnTo>
                  <a:lnTo>
                    <a:pt x="0" y="148283"/>
                  </a:lnTo>
                  <a:lnTo>
                    <a:pt x="0" y="321117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80000"/>
                <a:hueOff val="0"/>
                <a:satOff val="0"/>
                <a:lumOff val="0"/>
                <a:alphaOff val="0"/>
              </a:schemeClr>
            </a:lnRef>
            <a:fillRef idx="0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tx1">
                <a:hueOff val="0"/>
                <a:satOff val="0"/>
                <a:lumOff val="0"/>
                <a:alphaOff val="0"/>
              </a:schemeClr>
            </a:fontRef>
          </xdr:style>
        </xdr:sp>
        <xdr:sp macro="" textlink="">
          <xdr:nvSpPr>
            <xdr:cNvPr id="89" name="Freeform 88"/>
            <xdr:cNvSpPr/>
          </xdr:nvSpPr>
          <xdr:spPr>
            <a:xfrm>
              <a:off x="3426228" y="1014040"/>
              <a:ext cx="1948498" cy="345668"/>
            </a:xfrm>
            <a:custGeom>
              <a:avLst/>
              <a:gdLst/>
              <a:ahLst/>
              <a:cxnLst/>
              <a:rect l="0" t="0" r="0" b="0"/>
              <a:pathLst>
                <a:path>
                  <a:moveTo>
                    <a:pt x="0" y="0"/>
                  </a:moveTo>
                  <a:lnTo>
                    <a:pt x="0" y="172834"/>
                  </a:lnTo>
                  <a:lnTo>
                    <a:pt x="1948498" y="172834"/>
                  </a:lnTo>
                  <a:lnTo>
                    <a:pt x="1948498" y="345668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60000"/>
                <a:hueOff val="0"/>
                <a:satOff val="0"/>
                <a:lumOff val="0"/>
                <a:alphaOff val="0"/>
              </a:schemeClr>
            </a:lnRef>
            <a:fillRef idx="0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tx1">
                <a:hueOff val="0"/>
                <a:satOff val="0"/>
                <a:lumOff val="0"/>
                <a:alphaOff val="0"/>
              </a:schemeClr>
            </a:fontRef>
          </xdr:style>
        </xdr:sp>
        <xdr:sp macro="" textlink="">
          <xdr:nvSpPr>
            <xdr:cNvPr id="90" name="Freeform 89"/>
            <xdr:cNvSpPr/>
          </xdr:nvSpPr>
          <xdr:spPr>
            <a:xfrm rot="20651319">
              <a:off x="1336357" y="2022926"/>
              <a:ext cx="554058" cy="657225"/>
            </a:xfrm>
            <a:custGeom>
              <a:avLst/>
              <a:gdLst/>
              <a:ahLst/>
              <a:cxnLst/>
              <a:rect l="0" t="0" r="0" b="0"/>
              <a:pathLst>
                <a:path>
                  <a:moveTo>
                    <a:pt x="167665" y="0"/>
                  </a:moveTo>
                  <a:lnTo>
                    <a:pt x="0" y="559315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80000"/>
                <a:hueOff val="0"/>
                <a:satOff val="0"/>
                <a:lumOff val="0"/>
                <a:alphaOff val="0"/>
              </a:schemeClr>
            </a:lnRef>
            <a:fillRef idx="0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tx1">
                <a:hueOff val="0"/>
                <a:satOff val="0"/>
                <a:lumOff val="0"/>
                <a:alphaOff val="0"/>
              </a:schemeClr>
            </a:fontRef>
          </xdr:style>
        </xdr:sp>
        <xdr:sp macro="" textlink="">
          <xdr:nvSpPr>
            <xdr:cNvPr id="91" name="Freeform 90"/>
            <xdr:cNvSpPr/>
          </xdr:nvSpPr>
          <xdr:spPr>
            <a:xfrm>
              <a:off x="1477729" y="1014040"/>
              <a:ext cx="1948498" cy="345668"/>
            </a:xfrm>
            <a:custGeom>
              <a:avLst/>
              <a:gdLst/>
              <a:ahLst/>
              <a:cxnLst/>
              <a:rect l="0" t="0" r="0" b="0"/>
              <a:pathLst>
                <a:path>
                  <a:moveTo>
                    <a:pt x="1948498" y="0"/>
                  </a:moveTo>
                  <a:lnTo>
                    <a:pt x="1948498" y="172834"/>
                  </a:lnTo>
                  <a:lnTo>
                    <a:pt x="0" y="172834"/>
                  </a:lnTo>
                  <a:lnTo>
                    <a:pt x="0" y="345668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60000"/>
                <a:hueOff val="0"/>
                <a:satOff val="0"/>
                <a:lumOff val="0"/>
                <a:alphaOff val="0"/>
              </a:schemeClr>
            </a:lnRef>
            <a:fillRef idx="0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tx1">
                <a:hueOff val="0"/>
                <a:satOff val="0"/>
                <a:lumOff val="0"/>
                <a:alphaOff val="0"/>
              </a:schemeClr>
            </a:fontRef>
          </xdr:style>
        </xdr:sp>
        <xdr:sp macro="" textlink="">
          <xdr:nvSpPr>
            <xdr:cNvPr id="92" name="Freeform 91"/>
            <xdr:cNvSpPr/>
          </xdr:nvSpPr>
          <xdr:spPr>
            <a:xfrm>
              <a:off x="2603208" y="191020"/>
              <a:ext cx="1646039" cy="823019"/>
            </a:xfrm>
            <a:custGeom>
              <a:avLst/>
              <a:gdLst>
                <a:gd name="connsiteX0" fmla="*/ 0 w 1646039"/>
                <a:gd name="connsiteY0" fmla="*/ 0 h 823019"/>
                <a:gd name="connsiteX1" fmla="*/ 1646039 w 1646039"/>
                <a:gd name="connsiteY1" fmla="*/ 0 h 823019"/>
                <a:gd name="connsiteX2" fmla="*/ 1646039 w 1646039"/>
                <a:gd name="connsiteY2" fmla="*/ 823019 h 823019"/>
                <a:gd name="connsiteX3" fmla="*/ 0 w 1646039"/>
                <a:gd name="connsiteY3" fmla="*/ 823019 h 823019"/>
                <a:gd name="connsiteX4" fmla="*/ 0 w 1646039"/>
                <a:gd name="connsiteY4" fmla="*/ 0 h 82301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646039" h="823019">
                  <a:moveTo>
                    <a:pt x="0" y="0"/>
                  </a:moveTo>
                  <a:lnTo>
                    <a:pt x="1646039" y="0"/>
                  </a:lnTo>
                  <a:lnTo>
                    <a:pt x="1646039" y="823019"/>
                  </a:lnTo>
                  <a:lnTo>
                    <a:pt x="0" y="823019"/>
                  </a:lnTo>
                  <a:lnTo>
                    <a:pt x="0" y="0"/>
                  </a:lnTo>
                  <a:close/>
                </a:path>
              </a:pathLst>
            </a:custGeom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hemeClr val="accent1">
                <a:hueOff val="0"/>
                <a:satOff val="0"/>
                <a:lumOff val="0"/>
                <a:alphaOff val="0"/>
              </a:schemeClr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 spcFirstLastPara="0" vert="horz" wrap="square" lIns="9525" tIns="9525" rIns="9525" bIns="9525" numCol="1" spcCol="1270" anchor="ctr" anchorCtr="0">
              <a:noAutofit/>
            </a:bodyPr>
            <a:lstStyle/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Participant Action w/o Measure</a:t>
              </a:r>
            </a:p>
          </xdr:txBody>
        </xdr:sp>
        <xdr:sp macro="" textlink="">
          <xdr:nvSpPr>
            <xdr:cNvPr id="93" name="Freeform 92"/>
            <xdr:cNvSpPr/>
          </xdr:nvSpPr>
          <xdr:spPr>
            <a:xfrm>
              <a:off x="654709" y="1359708"/>
              <a:ext cx="1646039" cy="823019"/>
            </a:xfrm>
            <a:custGeom>
              <a:avLst/>
              <a:gdLst>
                <a:gd name="connsiteX0" fmla="*/ 0 w 1646039"/>
                <a:gd name="connsiteY0" fmla="*/ 0 h 823019"/>
                <a:gd name="connsiteX1" fmla="*/ 1646039 w 1646039"/>
                <a:gd name="connsiteY1" fmla="*/ 0 h 823019"/>
                <a:gd name="connsiteX2" fmla="*/ 1646039 w 1646039"/>
                <a:gd name="connsiteY2" fmla="*/ 823019 h 823019"/>
                <a:gd name="connsiteX3" fmla="*/ 0 w 1646039"/>
                <a:gd name="connsiteY3" fmla="*/ 823019 h 823019"/>
                <a:gd name="connsiteX4" fmla="*/ 0 w 1646039"/>
                <a:gd name="connsiteY4" fmla="*/ 0 h 82301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646039" h="823019">
                  <a:moveTo>
                    <a:pt x="0" y="0"/>
                  </a:moveTo>
                  <a:lnTo>
                    <a:pt x="1646039" y="0"/>
                  </a:lnTo>
                  <a:lnTo>
                    <a:pt x="1646039" y="823019"/>
                  </a:lnTo>
                  <a:lnTo>
                    <a:pt x="0" y="823019"/>
                  </a:lnTo>
                  <a:lnTo>
                    <a:pt x="0" y="0"/>
                  </a:lnTo>
                  <a:close/>
                </a:path>
              </a:pathLst>
            </a:custGeom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hemeClr val="accent1">
                <a:hueOff val="0"/>
                <a:satOff val="0"/>
                <a:lumOff val="0"/>
                <a:alphaOff val="0"/>
              </a:schemeClr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 spcFirstLastPara="0" vert="horz" wrap="square" lIns="9525" tIns="9525" rIns="9525" bIns="9525" numCol="1" spcCol="1270" anchor="ctr" anchorCtr="0">
              <a:noAutofit/>
            </a:bodyPr>
            <a:lstStyle/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Keep Equipment but Unused</a:t>
              </a:r>
            </a:p>
          </xdr:txBody>
        </xdr:sp>
        <xdr:sp macro="" textlink="">
          <xdr:nvSpPr>
            <xdr:cNvPr id="94" name="Freeform 93"/>
            <xdr:cNvSpPr/>
          </xdr:nvSpPr>
          <xdr:spPr>
            <a:xfrm>
              <a:off x="651648" y="2330534"/>
              <a:ext cx="1646039" cy="823019"/>
            </a:xfrm>
            <a:custGeom>
              <a:avLst/>
              <a:gdLst>
                <a:gd name="connsiteX0" fmla="*/ 0 w 1646039"/>
                <a:gd name="connsiteY0" fmla="*/ 0 h 823019"/>
                <a:gd name="connsiteX1" fmla="*/ 1646039 w 1646039"/>
                <a:gd name="connsiteY1" fmla="*/ 0 h 823019"/>
                <a:gd name="connsiteX2" fmla="*/ 1646039 w 1646039"/>
                <a:gd name="connsiteY2" fmla="*/ 823019 h 823019"/>
                <a:gd name="connsiteX3" fmla="*/ 0 w 1646039"/>
                <a:gd name="connsiteY3" fmla="*/ 823019 h 823019"/>
                <a:gd name="connsiteX4" fmla="*/ 0 w 1646039"/>
                <a:gd name="connsiteY4" fmla="*/ 0 h 82301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646039" h="823019">
                  <a:moveTo>
                    <a:pt x="0" y="0"/>
                  </a:moveTo>
                  <a:lnTo>
                    <a:pt x="1646039" y="0"/>
                  </a:lnTo>
                  <a:lnTo>
                    <a:pt x="1646039" y="823019"/>
                  </a:lnTo>
                  <a:lnTo>
                    <a:pt x="0" y="823019"/>
                  </a:lnTo>
                  <a:lnTo>
                    <a:pt x="0" y="0"/>
                  </a:lnTo>
                  <a:close/>
                </a:path>
              </a:pathLst>
            </a:custGeom>
            <a:solidFill>
              <a:schemeClr val="accent2"/>
            </a:solidFill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 spcFirstLastPara="0" vert="horz" wrap="square" lIns="9525" tIns="9525" rIns="9525" bIns="9525" numCol="1" spcCol="1270" anchor="ctr" anchorCtr="0">
              <a:noAutofit/>
            </a:bodyPr>
            <a:lstStyle/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No UEC</a:t>
              </a:r>
            </a:p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UES = 0</a:t>
              </a:r>
            </a:p>
          </xdr:txBody>
        </xdr:sp>
        <xdr:sp macro="" textlink="">
          <xdr:nvSpPr>
            <xdr:cNvPr id="95" name="Freeform 94"/>
            <xdr:cNvSpPr/>
          </xdr:nvSpPr>
          <xdr:spPr>
            <a:xfrm>
              <a:off x="4551707" y="1359708"/>
              <a:ext cx="1646039" cy="823019"/>
            </a:xfrm>
            <a:custGeom>
              <a:avLst/>
              <a:gdLst>
                <a:gd name="connsiteX0" fmla="*/ 0 w 1646039"/>
                <a:gd name="connsiteY0" fmla="*/ 0 h 823019"/>
                <a:gd name="connsiteX1" fmla="*/ 1646039 w 1646039"/>
                <a:gd name="connsiteY1" fmla="*/ 0 h 823019"/>
                <a:gd name="connsiteX2" fmla="*/ 1646039 w 1646039"/>
                <a:gd name="connsiteY2" fmla="*/ 823019 h 823019"/>
                <a:gd name="connsiteX3" fmla="*/ 0 w 1646039"/>
                <a:gd name="connsiteY3" fmla="*/ 823019 h 823019"/>
                <a:gd name="connsiteX4" fmla="*/ 0 w 1646039"/>
                <a:gd name="connsiteY4" fmla="*/ 0 h 82301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646039" h="823019">
                  <a:moveTo>
                    <a:pt x="0" y="0"/>
                  </a:moveTo>
                  <a:lnTo>
                    <a:pt x="1646039" y="0"/>
                  </a:lnTo>
                  <a:lnTo>
                    <a:pt x="1646039" y="823019"/>
                  </a:lnTo>
                  <a:lnTo>
                    <a:pt x="0" y="823019"/>
                  </a:lnTo>
                  <a:lnTo>
                    <a:pt x="0" y="0"/>
                  </a:lnTo>
                  <a:close/>
                </a:path>
              </a:pathLst>
            </a:custGeom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hemeClr val="accent1">
                <a:hueOff val="0"/>
                <a:satOff val="0"/>
                <a:lumOff val="0"/>
                <a:alphaOff val="0"/>
              </a:schemeClr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 spcFirstLastPara="0" vert="horz" wrap="square" lIns="9525" tIns="9525" rIns="9525" bIns="9525" numCol="1" spcCol="1270" anchor="ctr" anchorCtr="0">
              <a:noAutofit/>
            </a:bodyPr>
            <a:lstStyle/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Discard Equipment</a:t>
              </a:r>
            </a:p>
          </xdr:txBody>
        </xdr:sp>
        <xdr:sp macro="" textlink="">
          <xdr:nvSpPr>
            <xdr:cNvPr id="96" name="Freeform 95"/>
            <xdr:cNvSpPr/>
          </xdr:nvSpPr>
          <xdr:spPr>
            <a:xfrm>
              <a:off x="2837406" y="2503845"/>
              <a:ext cx="1646039" cy="823019"/>
            </a:xfrm>
            <a:custGeom>
              <a:avLst/>
              <a:gdLst>
                <a:gd name="connsiteX0" fmla="*/ 0 w 1646039"/>
                <a:gd name="connsiteY0" fmla="*/ 0 h 823019"/>
                <a:gd name="connsiteX1" fmla="*/ 1646039 w 1646039"/>
                <a:gd name="connsiteY1" fmla="*/ 0 h 823019"/>
                <a:gd name="connsiteX2" fmla="*/ 1646039 w 1646039"/>
                <a:gd name="connsiteY2" fmla="*/ 823019 h 823019"/>
                <a:gd name="connsiteX3" fmla="*/ 0 w 1646039"/>
                <a:gd name="connsiteY3" fmla="*/ 823019 h 823019"/>
                <a:gd name="connsiteX4" fmla="*/ 0 w 1646039"/>
                <a:gd name="connsiteY4" fmla="*/ 0 h 82301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646039" h="823019">
                  <a:moveTo>
                    <a:pt x="0" y="0"/>
                  </a:moveTo>
                  <a:lnTo>
                    <a:pt x="1646039" y="0"/>
                  </a:lnTo>
                  <a:lnTo>
                    <a:pt x="1646039" y="823019"/>
                  </a:lnTo>
                  <a:lnTo>
                    <a:pt x="0" y="823019"/>
                  </a:lnTo>
                  <a:lnTo>
                    <a:pt x="0" y="0"/>
                  </a:lnTo>
                  <a:close/>
                </a:path>
              </a:pathLst>
            </a:custGeom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hemeClr val="accent1">
                <a:hueOff val="0"/>
                <a:satOff val="0"/>
                <a:lumOff val="0"/>
                <a:alphaOff val="0"/>
              </a:schemeClr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 spcFirstLastPara="0" vert="horz" wrap="square" lIns="9525" tIns="9525" rIns="9525" bIns="9525" numCol="1" spcCol="1270" anchor="ctr" anchorCtr="0">
              <a:noAutofit/>
            </a:bodyPr>
            <a:lstStyle/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Transfer to Recipient Household</a:t>
              </a:r>
            </a:p>
          </xdr:txBody>
        </xdr:sp>
        <xdr:sp macro="" textlink="">
          <xdr:nvSpPr>
            <xdr:cNvPr id="104" name="Freeform 103"/>
            <xdr:cNvSpPr/>
          </xdr:nvSpPr>
          <xdr:spPr>
            <a:xfrm>
              <a:off x="5849954" y="2507804"/>
              <a:ext cx="1646039" cy="823019"/>
            </a:xfrm>
            <a:custGeom>
              <a:avLst/>
              <a:gdLst>
                <a:gd name="connsiteX0" fmla="*/ 0 w 1646039"/>
                <a:gd name="connsiteY0" fmla="*/ 0 h 823019"/>
                <a:gd name="connsiteX1" fmla="*/ 1646039 w 1646039"/>
                <a:gd name="connsiteY1" fmla="*/ 0 h 823019"/>
                <a:gd name="connsiteX2" fmla="*/ 1646039 w 1646039"/>
                <a:gd name="connsiteY2" fmla="*/ 823019 h 823019"/>
                <a:gd name="connsiteX3" fmla="*/ 0 w 1646039"/>
                <a:gd name="connsiteY3" fmla="*/ 823019 h 823019"/>
                <a:gd name="connsiteX4" fmla="*/ 0 w 1646039"/>
                <a:gd name="connsiteY4" fmla="*/ 0 h 82301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646039" h="823019">
                  <a:moveTo>
                    <a:pt x="0" y="0"/>
                  </a:moveTo>
                  <a:lnTo>
                    <a:pt x="1646039" y="0"/>
                  </a:lnTo>
                  <a:lnTo>
                    <a:pt x="1646039" y="823019"/>
                  </a:lnTo>
                  <a:lnTo>
                    <a:pt x="0" y="823019"/>
                  </a:lnTo>
                  <a:lnTo>
                    <a:pt x="0" y="0"/>
                  </a:lnTo>
                  <a:close/>
                </a:path>
              </a:pathLst>
            </a:custGeom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hemeClr val="accent1">
                <a:hueOff val="0"/>
                <a:satOff val="0"/>
                <a:lumOff val="0"/>
                <a:alphaOff val="0"/>
              </a:schemeClr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 spcFirstLastPara="0" vert="horz" wrap="square" lIns="9525" tIns="9525" rIns="9525" bIns="9525" numCol="1" spcCol="1270" anchor="ctr" anchorCtr="0">
              <a:noAutofit/>
            </a:bodyPr>
            <a:lstStyle/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Pick-up/Drop-off for Recycling</a:t>
              </a:r>
            </a:p>
          </xdr:txBody>
        </xdr:sp>
        <xdr:sp macro="" textlink="">
          <xdr:nvSpPr>
            <xdr:cNvPr id="105" name="Freeform 104"/>
            <xdr:cNvSpPr/>
          </xdr:nvSpPr>
          <xdr:spPr>
            <a:xfrm>
              <a:off x="5049634" y="3697084"/>
              <a:ext cx="1646039" cy="823019"/>
            </a:xfrm>
            <a:custGeom>
              <a:avLst/>
              <a:gdLst>
                <a:gd name="connsiteX0" fmla="*/ 0 w 1646039"/>
                <a:gd name="connsiteY0" fmla="*/ 0 h 823019"/>
                <a:gd name="connsiteX1" fmla="*/ 1646039 w 1646039"/>
                <a:gd name="connsiteY1" fmla="*/ 0 h 823019"/>
                <a:gd name="connsiteX2" fmla="*/ 1646039 w 1646039"/>
                <a:gd name="connsiteY2" fmla="*/ 823019 h 823019"/>
                <a:gd name="connsiteX3" fmla="*/ 0 w 1646039"/>
                <a:gd name="connsiteY3" fmla="*/ 823019 h 823019"/>
                <a:gd name="connsiteX4" fmla="*/ 0 w 1646039"/>
                <a:gd name="connsiteY4" fmla="*/ 0 h 82301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646039" h="823019">
                  <a:moveTo>
                    <a:pt x="0" y="0"/>
                  </a:moveTo>
                  <a:lnTo>
                    <a:pt x="1646039" y="0"/>
                  </a:lnTo>
                  <a:lnTo>
                    <a:pt x="1646039" y="823019"/>
                  </a:lnTo>
                  <a:lnTo>
                    <a:pt x="0" y="823019"/>
                  </a:lnTo>
                  <a:lnTo>
                    <a:pt x="0" y="0"/>
                  </a:lnTo>
                  <a:close/>
                </a:path>
              </a:pathLst>
            </a:custGeom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hemeClr val="accent1">
                <a:hueOff val="0"/>
                <a:satOff val="0"/>
                <a:lumOff val="0"/>
                <a:alphaOff val="0"/>
              </a:schemeClr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 spcFirstLastPara="0" vert="horz" wrap="square" lIns="9525" tIns="9525" rIns="9525" bIns="9525" numCol="1" spcCol="1270" anchor="ctr" anchorCtr="0">
              <a:noAutofit/>
            </a:bodyPr>
            <a:lstStyle/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Resale Value</a:t>
              </a:r>
            </a:p>
          </xdr:txBody>
        </xdr:sp>
        <xdr:sp macro="" textlink="">
          <xdr:nvSpPr>
            <xdr:cNvPr id="106" name="Freeform 105"/>
            <xdr:cNvSpPr/>
          </xdr:nvSpPr>
          <xdr:spPr>
            <a:xfrm>
              <a:off x="7041341" y="3697084"/>
              <a:ext cx="1646039" cy="823019"/>
            </a:xfrm>
            <a:custGeom>
              <a:avLst/>
              <a:gdLst>
                <a:gd name="connsiteX0" fmla="*/ 0 w 1646039"/>
                <a:gd name="connsiteY0" fmla="*/ 0 h 823019"/>
                <a:gd name="connsiteX1" fmla="*/ 1646039 w 1646039"/>
                <a:gd name="connsiteY1" fmla="*/ 0 h 823019"/>
                <a:gd name="connsiteX2" fmla="*/ 1646039 w 1646039"/>
                <a:gd name="connsiteY2" fmla="*/ 823019 h 823019"/>
                <a:gd name="connsiteX3" fmla="*/ 0 w 1646039"/>
                <a:gd name="connsiteY3" fmla="*/ 823019 h 823019"/>
                <a:gd name="connsiteX4" fmla="*/ 0 w 1646039"/>
                <a:gd name="connsiteY4" fmla="*/ 0 h 82301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646039" h="823019">
                  <a:moveTo>
                    <a:pt x="0" y="0"/>
                  </a:moveTo>
                  <a:lnTo>
                    <a:pt x="1646039" y="0"/>
                  </a:lnTo>
                  <a:lnTo>
                    <a:pt x="1646039" y="823019"/>
                  </a:lnTo>
                  <a:lnTo>
                    <a:pt x="0" y="823019"/>
                  </a:lnTo>
                  <a:lnTo>
                    <a:pt x="0" y="0"/>
                  </a:lnTo>
                  <a:close/>
                </a:path>
              </a:pathLst>
            </a:custGeom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hemeClr val="accent1">
                <a:hueOff val="0"/>
                <a:satOff val="0"/>
                <a:lumOff val="0"/>
                <a:alphaOff val="0"/>
              </a:schemeClr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 spcFirstLastPara="0" vert="horz" wrap="square" lIns="9525" tIns="9525" rIns="9525" bIns="9525" numCol="1" spcCol="1270" anchor="ctr" anchorCtr="0">
              <a:noAutofit/>
            </a:bodyPr>
            <a:lstStyle/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No Resale Value</a:t>
              </a:r>
            </a:p>
          </xdr:txBody>
        </xdr:sp>
        <xdr:sp macro="" textlink="">
          <xdr:nvSpPr>
            <xdr:cNvPr id="107" name="Freeform 106"/>
            <xdr:cNvSpPr/>
          </xdr:nvSpPr>
          <xdr:spPr>
            <a:xfrm>
              <a:off x="7041341" y="4865771"/>
              <a:ext cx="1646039" cy="823019"/>
            </a:xfrm>
            <a:custGeom>
              <a:avLst/>
              <a:gdLst>
                <a:gd name="connsiteX0" fmla="*/ 0 w 1646039"/>
                <a:gd name="connsiteY0" fmla="*/ 0 h 823019"/>
                <a:gd name="connsiteX1" fmla="*/ 1646039 w 1646039"/>
                <a:gd name="connsiteY1" fmla="*/ 0 h 823019"/>
                <a:gd name="connsiteX2" fmla="*/ 1646039 w 1646039"/>
                <a:gd name="connsiteY2" fmla="*/ 823019 h 823019"/>
                <a:gd name="connsiteX3" fmla="*/ 0 w 1646039"/>
                <a:gd name="connsiteY3" fmla="*/ 823019 h 823019"/>
                <a:gd name="connsiteX4" fmla="*/ 0 w 1646039"/>
                <a:gd name="connsiteY4" fmla="*/ 0 h 82301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646039" h="823019">
                  <a:moveTo>
                    <a:pt x="0" y="0"/>
                  </a:moveTo>
                  <a:lnTo>
                    <a:pt x="1646039" y="0"/>
                  </a:lnTo>
                  <a:lnTo>
                    <a:pt x="1646039" y="823019"/>
                  </a:lnTo>
                  <a:lnTo>
                    <a:pt x="0" y="823019"/>
                  </a:lnTo>
                  <a:lnTo>
                    <a:pt x="0" y="0"/>
                  </a:lnTo>
                  <a:close/>
                </a:path>
              </a:pathLst>
            </a:custGeom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hemeClr val="accent1">
                <a:hueOff val="0"/>
                <a:satOff val="0"/>
                <a:lumOff val="0"/>
                <a:alphaOff val="0"/>
              </a:schemeClr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 spcFirstLastPara="0" vert="horz" wrap="square" lIns="9525" tIns="9525" rIns="9525" bIns="9525" numCol="1" spcCol="1270" anchor="ctr" anchorCtr="0">
              <a:noAutofit/>
            </a:bodyPr>
            <a:lstStyle/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Scrapped/Landfilled</a:t>
              </a:r>
            </a:p>
          </xdr:txBody>
        </xdr:sp>
        <xdr:sp macro="" textlink="">
          <xdr:nvSpPr>
            <xdr:cNvPr id="108" name="Freeform 107"/>
            <xdr:cNvSpPr/>
          </xdr:nvSpPr>
          <xdr:spPr>
            <a:xfrm>
              <a:off x="7064649" y="5820951"/>
              <a:ext cx="1646039" cy="823019"/>
            </a:xfrm>
            <a:custGeom>
              <a:avLst/>
              <a:gdLst>
                <a:gd name="connsiteX0" fmla="*/ 0 w 1646039"/>
                <a:gd name="connsiteY0" fmla="*/ 0 h 823019"/>
                <a:gd name="connsiteX1" fmla="*/ 1646039 w 1646039"/>
                <a:gd name="connsiteY1" fmla="*/ 0 h 823019"/>
                <a:gd name="connsiteX2" fmla="*/ 1646039 w 1646039"/>
                <a:gd name="connsiteY2" fmla="*/ 823019 h 823019"/>
                <a:gd name="connsiteX3" fmla="*/ 0 w 1646039"/>
                <a:gd name="connsiteY3" fmla="*/ 823019 h 823019"/>
                <a:gd name="connsiteX4" fmla="*/ 0 w 1646039"/>
                <a:gd name="connsiteY4" fmla="*/ 0 h 823019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646039" h="823019">
                  <a:moveTo>
                    <a:pt x="0" y="0"/>
                  </a:moveTo>
                  <a:lnTo>
                    <a:pt x="1646039" y="0"/>
                  </a:lnTo>
                  <a:lnTo>
                    <a:pt x="1646039" y="823019"/>
                  </a:lnTo>
                  <a:lnTo>
                    <a:pt x="0" y="823019"/>
                  </a:lnTo>
                  <a:lnTo>
                    <a:pt x="0" y="0"/>
                  </a:lnTo>
                  <a:close/>
                </a:path>
              </a:pathLst>
            </a:custGeom>
            <a:solidFill>
              <a:schemeClr val="accent2"/>
            </a:solidFill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 spcFirstLastPara="0" vert="horz" wrap="square" lIns="9525" tIns="9525" rIns="9525" bIns="9525" numCol="1" spcCol="1270" anchor="ctr" anchorCtr="0">
              <a:noAutofit/>
            </a:bodyPr>
            <a:lstStyle/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No UEC</a:t>
              </a:r>
            </a:p>
            <a:p>
              <a:pPr lvl="0" algn="ctr" defTabSz="6667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r>
                <a:rPr lang="en-US" sz="1500" kern="1200"/>
                <a:t>UES = 0</a:t>
              </a:r>
            </a:p>
          </xdr:txBody>
        </xdr:sp>
      </xdr:grpSp>
      <xdr:grpSp>
        <xdr:nvGrpSpPr>
          <xdr:cNvPr id="132" name="Group 131"/>
          <xdr:cNvGrpSpPr/>
        </xdr:nvGrpSpPr>
        <xdr:grpSpPr>
          <a:xfrm>
            <a:off x="1057911" y="4909855"/>
            <a:ext cx="5304789" cy="2900645"/>
            <a:chOff x="1057911" y="4909855"/>
            <a:chExt cx="5304789" cy="2900645"/>
          </a:xfrm>
        </xdr:grpSpPr>
        <xdr:grpSp>
          <xdr:nvGrpSpPr>
            <xdr:cNvPr id="126" name="Group 125"/>
            <xdr:cNvGrpSpPr/>
          </xdr:nvGrpSpPr>
          <xdr:grpSpPr>
            <a:xfrm>
              <a:off x="1057911" y="4909855"/>
              <a:ext cx="5304789" cy="2900645"/>
              <a:chOff x="1006583" y="3743325"/>
              <a:chExt cx="5304789" cy="2900645"/>
            </a:xfrm>
          </xdr:grpSpPr>
          <xdr:sp macro="" textlink="">
            <xdr:nvSpPr>
              <xdr:cNvPr id="109" name="Freeform 108"/>
              <xdr:cNvSpPr/>
            </xdr:nvSpPr>
            <xdr:spPr>
              <a:xfrm rot="1049751" flipH="1">
                <a:off x="5207396" y="5478566"/>
                <a:ext cx="434906" cy="428625"/>
              </a:xfrm>
              <a:custGeom>
                <a:avLst/>
                <a:gdLst/>
                <a:ahLst/>
                <a:cxnLst/>
                <a:rect l="0" t="0" r="0" b="0"/>
                <a:pathLst>
                  <a:path>
                    <a:moveTo>
                      <a:pt x="174694" y="0"/>
                    </a:moveTo>
                    <a:lnTo>
                      <a:pt x="0" y="563784"/>
                    </a:lnTo>
                  </a:path>
                </a:pathLst>
              </a:custGeom>
              <a:noFill/>
            </xdr:spPr>
            <xdr:style>
              <a:lnRef idx="2">
                <a:schemeClr val="accent1">
                  <a:shade val="80000"/>
                  <a:hueOff val="0"/>
                  <a:satOff val="0"/>
                  <a:lumOff val="0"/>
                  <a:alphaOff val="0"/>
                </a:schemeClr>
              </a:lnRef>
              <a:fillRef idx="0">
                <a:scrgbClr r="0" g="0" b="0"/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tx1">
                  <a:hueOff val="0"/>
                  <a:satOff val="0"/>
                  <a:lumOff val="0"/>
                  <a:alphaOff val="0"/>
                </a:schemeClr>
              </a:fontRef>
            </xdr:style>
          </xdr:sp>
          <xdr:sp macro="" textlink="">
            <xdr:nvSpPr>
              <xdr:cNvPr id="82" name="Freeform 81"/>
              <xdr:cNvSpPr/>
            </xdr:nvSpPr>
            <xdr:spPr>
              <a:xfrm>
                <a:off x="3664680" y="4381500"/>
                <a:ext cx="1821720" cy="464388"/>
              </a:xfrm>
              <a:custGeom>
                <a:avLst/>
                <a:gdLst/>
                <a:ahLst/>
                <a:cxnLst/>
                <a:rect l="0" t="0" r="0" b="0"/>
                <a:pathLst>
                  <a:path>
                    <a:moveTo>
                      <a:pt x="0" y="0"/>
                    </a:moveTo>
                    <a:lnTo>
                      <a:pt x="0" y="291554"/>
                    </a:lnTo>
                    <a:lnTo>
                      <a:pt x="1821720" y="291554"/>
                    </a:lnTo>
                    <a:lnTo>
                      <a:pt x="1821720" y="464388"/>
                    </a:lnTo>
                  </a:path>
                </a:pathLst>
              </a:custGeom>
              <a:noFill/>
            </xdr:spPr>
            <xdr:style>
              <a:lnRef idx="2">
                <a:schemeClr val="accent1">
                  <a:shade val="80000"/>
                  <a:hueOff val="0"/>
                  <a:satOff val="0"/>
                  <a:lumOff val="0"/>
                  <a:alphaOff val="0"/>
                </a:schemeClr>
              </a:lnRef>
              <a:fillRef idx="0">
                <a:scrgbClr r="0" g="0" b="0"/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tx1">
                  <a:hueOff val="0"/>
                  <a:satOff val="0"/>
                  <a:lumOff val="0"/>
                  <a:alphaOff val="0"/>
                </a:schemeClr>
              </a:fontRef>
            </xdr:style>
          </xdr:sp>
          <xdr:sp macro="" textlink="">
            <xdr:nvSpPr>
              <xdr:cNvPr id="83" name="Freeform 82"/>
              <xdr:cNvSpPr/>
            </xdr:nvSpPr>
            <xdr:spPr>
              <a:xfrm rot="1049751" flipH="1">
                <a:off x="3311920" y="5611915"/>
                <a:ext cx="434906" cy="428625"/>
              </a:xfrm>
              <a:custGeom>
                <a:avLst/>
                <a:gdLst/>
                <a:ahLst/>
                <a:cxnLst/>
                <a:rect l="0" t="0" r="0" b="0"/>
                <a:pathLst>
                  <a:path>
                    <a:moveTo>
                      <a:pt x="174694" y="0"/>
                    </a:moveTo>
                    <a:lnTo>
                      <a:pt x="0" y="563784"/>
                    </a:lnTo>
                  </a:path>
                </a:pathLst>
              </a:custGeom>
              <a:noFill/>
            </xdr:spPr>
            <xdr:style>
              <a:lnRef idx="2">
                <a:schemeClr val="accent1">
                  <a:shade val="80000"/>
                  <a:hueOff val="0"/>
                  <a:satOff val="0"/>
                  <a:lumOff val="0"/>
                  <a:alphaOff val="0"/>
                </a:schemeClr>
              </a:lnRef>
              <a:fillRef idx="0">
                <a:scrgbClr r="0" g="0" b="0"/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tx1">
                  <a:hueOff val="0"/>
                  <a:satOff val="0"/>
                  <a:lumOff val="0"/>
                  <a:alphaOff val="0"/>
                </a:schemeClr>
              </a:fontRef>
            </xdr:style>
          </xdr:sp>
          <xdr:sp macro="" textlink="">
            <xdr:nvSpPr>
              <xdr:cNvPr id="85" name="Freeform 84"/>
              <xdr:cNvSpPr/>
            </xdr:nvSpPr>
            <xdr:spPr>
              <a:xfrm rot="861153" flipH="1">
                <a:off x="1273073" y="5597932"/>
                <a:ext cx="657613" cy="517461"/>
              </a:xfrm>
              <a:custGeom>
                <a:avLst/>
                <a:gdLst/>
                <a:ahLst/>
                <a:cxnLst/>
                <a:rect l="0" t="0" r="0" b="0"/>
                <a:pathLst>
                  <a:path>
                    <a:moveTo>
                      <a:pt x="149592" y="0"/>
                    </a:moveTo>
                    <a:lnTo>
                      <a:pt x="0" y="563554"/>
                    </a:lnTo>
                  </a:path>
                </a:pathLst>
              </a:custGeom>
              <a:noFill/>
            </xdr:spPr>
            <xdr:style>
              <a:lnRef idx="2">
                <a:schemeClr val="accent1">
                  <a:shade val="80000"/>
                  <a:hueOff val="0"/>
                  <a:satOff val="0"/>
                  <a:lumOff val="0"/>
                  <a:alphaOff val="0"/>
                </a:schemeClr>
              </a:lnRef>
              <a:fillRef idx="0">
                <a:scrgbClr r="0" g="0" b="0"/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tx1">
                  <a:hueOff val="0"/>
                  <a:satOff val="0"/>
                  <a:lumOff val="0"/>
                  <a:alphaOff val="0"/>
                </a:schemeClr>
              </a:fontRef>
            </xdr:style>
          </xdr:sp>
          <xdr:sp macro="" textlink="">
            <xdr:nvSpPr>
              <xdr:cNvPr id="86" name="Freeform 85"/>
              <xdr:cNvSpPr/>
            </xdr:nvSpPr>
            <xdr:spPr>
              <a:xfrm>
                <a:off x="1829603" y="4381498"/>
                <a:ext cx="1833654" cy="464388"/>
              </a:xfrm>
              <a:custGeom>
                <a:avLst/>
                <a:gdLst/>
                <a:ahLst/>
                <a:cxnLst/>
                <a:rect l="0" t="0" r="0" b="0"/>
                <a:pathLst>
                  <a:path>
                    <a:moveTo>
                      <a:pt x="1833654" y="0"/>
                    </a:moveTo>
                    <a:lnTo>
                      <a:pt x="1833654" y="291554"/>
                    </a:lnTo>
                    <a:lnTo>
                      <a:pt x="0" y="291554"/>
                    </a:lnTo>
                    <a:lnTo>
                      <a:pt x="0" y="464388"/>
                    </a:lnTo>
                  </a:path>
                </a:pathLst>
              </a:custGeom>
              <a:noFill/>
            </xdr:spPr>
            <xdr:style>
              <a:lnRef idx="2">
                <a:schemeClr val="accent1">
                  <a:shade val="80000"/>
                  <a:hueOff val="0"/>
                  <a:satOff val="0"/>
                  <a:lumOff val="0"/>
                  <a:alphaOff val="0"/>
                </a:schemeClr>
              </a:lnRef>
              <a:fillRef idx="0">
                <a:scrgbClr r="0" g="0" b="0"/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tx1">
                  <a:hueOff val="0"/>
                  <a:satOff val="0"/>
                  <a:lumOff val="0"/>
                  <a:alphaOff val="0"/>
                </a:schemeClr>
              </a:fontRef>
            </xdr:style>
          </xdr:sp>
          <xdr:sp macro="" textlink="">
            <xdr:nvSpPr>
              <xdr:cNvPr id="97" name="Freeform 96"/>
              <xdr:cNvSpPr/>
            </xdr:nvSpPr>
            <xdr:spPr>
              <a:xfrm>
                <a:off x="2792611" y="3743325"/>
                <a:ext cx="1646039" cy="823019"/>
              </a:xfrm>
              <a:custGeom>
                <a:avLst/>
                <a:gdLst>
                  <a:gd name="connsiteX0" fmla="*/ 0 w 1646039"/>
                  <a:gd name="connsiteY0" fmla="*/ 0 h 823019"/>
                  <a:gd name="connsiteX1" fmla="*/ 1646039 w 1646039"/>
                  <a:gd name="connsiteY1" fmla="*/ 0 h 823019"/>
                  <a:gd name="connsiteX2" fmla="*/ 1646039 w 1646039"/>
                  <a:gd name="connsiteY2" fmla="*/ 823019 h 823019"/>
                  <a:gd name="connsiteX3" fmla="*/ 0 w 1646039"/>
                  <a:gd name="connsiteY3" fmla="*/ 823019 h 823019"/>
                  <a:gd name="connsiteX4" fmla="*/ 0 w 1646039"/>
                  <a:gd name="connsiteY4" fmla="*/ 0 h 823019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</a:cxnLst>
                <a:rect l="l" t="t" r="r" b="b"/>
                <a:pathLst>
                  <a:path w="1646039" h="823019">
                    <a:moveTo>
                      <a:pt x="0" y="0"/>
                    </a:moveTo>
                    <a:lnTo>
                      <a:pt x="1646039" y="0"/>
                    </a:lnTo>
                    <a:lnTo>
                      <a:pt x="1646039" y="823019"/>
                    </a:lnTo>
                    <a:lnTo>
                      <a:pt x="0" y="823019"/>
                    </a:lnTo>
                    <a:lnTo>
                      <a:pt x="0" y="0"/>
                    </a:lnTo>
                    <a:close/>
                  </a:path>
                </a:pathLst>
              </a:custGeom>
            </xdr:spPr>
            <xdr:style>
              <a:lnRef idx="2">
                <a:schemeClr val="lt1">
                  <a:hueOff val="0"/>
                  <a:satOff val="0"/>
                  <a:lumOff val="0"/>
                  <a:alphaOff val="0"/>
                </a:schemeClr>
              </a:lnRef>
              <a:fillRef idx="1">
                <a:schemeClr val="accent1">
                  <a:hueOff val="0"/>
                  <a:satOff val="0"/>
                  <a:lumOff val="0"/>
                  <a:alphaOff val="0"/>
                </a:schemeClr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lt1"/>
              </a:fontRef>
            </xdr:style>
            <xdr:txBody>
              <a:bodyPr spcFirstLastPara="0" vert="horz" wrap="square" lIns="9525" tIns="9525" rIns="9525" bIns="9525" numCol="1" spcCol="1270" anchor="ctr" anchorCtr="0">
                <a:noAutofit/>
              </a:bodyPr>
              <a:lstStyle/>
              <a:p>
                <a:pPr lvl="0" algn="ctr" defTabSz="666750">
                  <a:lnSpc>
                    <a:spcPct val="90000"/>
                  </a:lnSpc>
                  <a:spcBef>
                    <a:spcPct val="0"/>
                  </a:spcBef>
                  <a:spcAft>
                    <a:spcPct val="35000"/>
                  </a:spcAft>
                </a:pPr>
                <a:r>
                  <a:rPr lang="en-US" sz="1500" kern="1200"/>
                  <a:t>Recipient Household Action w/ Measure</a:t>
                </a:r>
              </a:p>
            </xdr:txBody>
          </xdr:sp>
          <xdr:sp macro="" textlink="">
            <xdr:nvSpPr>
              <xdr:cNvPr id="98" name="Freeform 97"/>
              <xdr:cNvSpPr/>
            </xdr:nvSpPr>
            <xdr:spPr>
              <a:xfrm>
                <a:off x="1006583" y="4845887"/>
                <a:ext cx="1646039" cy="823019"/>
              </a:xfrm>
              <a:custGeom>
                <a:avLst/>
                <a:gdLst>
                  <a:gd name="connsiteX0" fmla="*/ 0 w 1646039"/>
                  <a:gd name="connsiteY0" fmla="*/ 0 h 823019"/>
                  <a:gd name="connsiteX1" fmla="*/ 1646039 w 1646039"/>
                  <a:gd name="connsiteY1" fmla="*/ 0 h 823019"/>
                  <a:gd name="connsiteX2" fmla="*/ 1646039 w 1646039"/>
                  <a:gd name="connsiteY2" fmla="*/ 823019 h 823019"/>
                  <a:gd name="connsiteX3" fmla="*/ 0 w 1646039"/>
                  <a:gd name="connsiteY3" fmla="*/ 823019 h 823019"/>
                  <a:gd name="connsiteX4" fmla="*/ 0 w 1646039"/>
                  <a:gd name="connsiteY4" fmla="*/ 0 h 823019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</a:cxnLst>
                <a:rect l="l" t="t" r="r" b="b"/>
                <a:pathLst>
                  <a:path w="1646039" h="823019">
                    <a:moveTo>
                      <a:pt x="0" y="0"/>
                    </a:moveTo>
                    <a:lnTo>
                      <a:pt x="1646039" y="0"/>
                    </a:lnTo>
                    <a:lnTo>
                      <a:pt x="1646039" y="823019"/>
                    </a:lnTo>
                    <a:lnTo>
                      <a:pt x="0" y="823019"/>
                    </a:lnTo>
                    <a:lnTo>
                      <a:pt x="0" y="0"/>
                    </a:lnTo>
                    <a:close/>
                  </a:path>
                </a:pathLst>
              </a:custGeom>
            </xdr:spPr>
            <xdr:style>
              <a:lnRef idx="2">
                <a:schemeClr val="lt1">
                  <a:hueOff val="0"/>
                  <a:satOff val="0"/>
                  <a:lumOff val="0"/>
                  <a:alphaOff val="0"/>
                </a:schemeClr>
              </a:lnRef>
              <a:fillRef idx="1">
                <a:schemeClr val="accent1">
                  <a:hueOff val="0"/>
                  <a:satOff val="0"/>
                  <a:lumOff val="0"/>
                  <a:alphaOff val="0"/>
                </a:schemeClr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lt1"/>
              </a:fontRef>
            </xdr:style>
            <xdr:txBody>
              <a:bodyPr spcFirstLastPara="0" vert="horz" wrap="square" lIns="9525" tIns="9525" rIns="9525" bIns="9525" numCol="1" spcCol="1270" anchor="ctr" anchorCtr="0">
                <a:noAutofit/>
              </a:bodyPr>
              <a:lstStyle/>
              <a:p>
                <a:pPr lvl="0" algn="ctr" defTabSz="666750">
                  <a:lnSpc>
                    <a:spcPct val="90000"/>
                  </a:lnSpc>
                  <a:spcBef>
                    <a:spcPct val="0"/>
                  </a:spcBef>
                  <a:spcAft>
                    <a:spcPct val="35000"/>
                  </a:spcAft>
                </a:pPr>
                <a:r>
                  <a:rPr lang="en-US" sz="1500" kern="1200"/>
                  <a:t>Does Not Buy CW</a:t>
                </a:r>
              </a:p>
            </xdr:txBody>
          </xdr:sp>
          <xdr:sp macro="" textlink="">
            <xdr:nvSpPr>
              <xdr:cNvPr id="99" name="Freeform 98"/>
              <xdr:cNvSpPr/>
            </xdr:nvSpPr>
            <xdr:spPr>
              <a:xfrm>
                <a:off x="1021595" y="5820951"/>
                <a:ext cx="1646039" cy="823019"/>
              </a:xfrm>
              <a:custGeom>
                <a:avLst/>
                <a:gdLst>
                  <a:gd name="connsiteX0" fmla="*/ 0 w 1646039"/>
                  <a:gd name="connsiteY0" fmla="*/ 0 h 823019"/>
                  <a:gd name="connsiteX1" fmla="*/ 1646039 w 1646039"/>
                  <a:gd name="connsiteY1" fmla="*/ 0 h 823019"/>
                  <a:gd name="connsiteX2" fmla="*/ 1646039 w 1646039"/>
                  <a:gd name="connsiteY2" fmla="*/ 823019 h 823019"/>
                  <a:gd name="connsiteX3" fmla="*/ 0 w 1646039"/>
                  <a:gd name="connsiteY3" fmla="*/ 823019 h 823019"/>
                  <a:gd name="connsiteX4" fmla="*/ 0 w 1646039"/>
                  <a:gd name="connsiteY4" fmla="*/ 0 h 823019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</a:cxnLst>
                <a:rect l="l" t="t" r="r" b="b"/>
                <a:pathLst>
                  <a:path w="1646039" h="823019">
                    <a:moveTo>
                      <a:pt x="0" y="0"/>
                    </a:moveTo>
                    <a:lnTo>
                      <a:pt x="1646039" y="0"/>
                    </a:lnTo>
                    <a:lnTo>
                      <a:pt x="1646039" y="823019"/>
                    </a:lnTo>
                    <a:lnTo>
                      <a:pt x="0" y="823019"/>
                    </a:lnTo>
                    <a:lnTo>
                      <a:pt x="0" y="0"/>
                    </a:lnTo>
                    <a:close/>
                  </a:path>
                </a:pathLst>
              </a:custGeom>
              <a:solidFill>
                <a:schemeClr val="accent3"/>
              </a:solidFill>
            </xdr:spPr>
            <xdr:style>
              <a:lnRef idx="2">
                <a:schemeClr val="lt1">
                  <a:hueOff val="0"/>
                  <a:satOff val="0"/>
                  <a:lumOff val="0"/>
                  <a:alphaOff val="0"/>
                </a:schemeClr>
              </a:lnRef>
              <a:fillRef idx="1">
                <a:scrgbClr r="0" g="0" b="0"/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lt1"/>
              </a:fontRef>
            </xdr:style>
            <xdr:txBody>
              <a:bodyPr spcFirstLastPara="0" vert="horz" wrap="square" lIns="9525" tIns="9525" rIns="9525" bIns="9525" numCol="1" spcCol="1270" anchor="ctr" anchorCtr="0">
                <a:noAutofit/>
              </a:bodyPr>
              <a:lstStyle/>
              <a:p>
                <a:pPr lvl="0" algn="ctr" defTabSz="666750">
                  <a:lnSpc>
                    <a:spcPct val="90000"/>
                  </a:lnSpc>
                  <a:spcBef>
                    <a:spcPct val="0"/>
                  </a:spcBef>
                  <a:spcAft>
                    <a:spcPct val="35000"/>
                  </a:spcAft>
                </a:pPr>
                <a:r>
                  <a:rPr lang="en-US" sz="1500" kern="1200"/>
                  <a:t>No UEC</a:t>
                </a:r>
              </a:p>
              <a:p>
                <a:pPr lvl="0" algn="ctr" defTabSz="666750">
                  <a:lnSpc>
                    <a:spcPct val="90000"/>
                  </a:lnSpc>
                  <a:spcBef>
                    <a:spcPct val="0"/>
                  </a:spcBef>
                  <a:spcAft>
                    <a:spcPct val="35000"/>
                  </a:spcAft>
                </a:pPr>
                <a:r>
                  <a:rPr lang="en-US" sz="1500" kern="1200"/>
                  <a:t>UES = Baseline UEC</a:t>
                </a:r>
              </a:p>
            </xdr:txBody>
          </xdr:sp>
          <xdr:sp macro="" textlink="">
            <xdr:nvSpPr>
              <xdr:cNvPr id="100" name="Freeform 99"/>
              <xdr:cNvSpPr/>
            </xdr:nvSpPr>
            <xdr:spPr>
              <a:xfrm>
                <a:off x="2829292" y="4835953"/>
                <a:ext cx="1646039" cy="823019"/>
              </a:xfrm>
              <a:custGeom>
                <a:avLst/>
                <a:gdLst>
                  <a:gd name="connsiteX0" fmla="*/ 0 w 1646039"/>
                  <a:gd name="connsiteY0" fmla="*/ 0 h 823019"/>
                  <a:gd name="connsiteX1" fmla="*/ 1646039 w 1646039"/>
                  <a:gd name="connsiteY1" fmla="*/ 0 h 823019"/>
                  <a:gd name="connsiteX2" fmla="*/ 1646039 w 1646039"/>
                  <a:gd name="connsiteY2" fmla="*/ 823019 h 823019"/>
                  <a:gd name="connsiteX3" fmla="*/ 0 w 1646039"/>
                  <a:gd name="connsiteY3" fmla="*/ 823019 h 823019"/>
                  <a:gd name="connsiteX4" fmla="*/ 0 w 1646039"/>
                  <a:gd name="connsiteY4" fmla="*/ 0 h 823019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</a:cxnLst>
                <a:rect l="l" t="t" r="r" b="b"/>
                <a:pathLst>
                  <a:path w="1646039" h="823019">
                    <a:moveTo>
                      <a:pt x="0" y="0"/>
                    </a:moveTo>
                    <a:lnTo>
                      <a:pt x="1646039" y="0"/>
                    </a:lnTo>
                    <a:lnTo>
                      <a:pt x="1646039" y="823019"/>
                    </a:lnTo>
                    <a:lnTo>
                      <a:pt x="0" y="823019"/>
                    </a:lnTo>
                    <a:lnTo>
                      <a:pt x="0" y="0"/>
                    </a:lnTo>
                    <a:close/>
                  </a:path>
                </a:pathLst>
              </a:custGeom>
            </xdr:spPr>
            <xdr:style>
              <a:lnRef idx="2">
                <a:schemeClr val="lt1">
                  <a:hueOff val="0"/>
                  <a:satOff val="0"/>
                  <a:lumOff val="0"/>
                  <a:alphaOff val="0"/>
                </a:schemeClr>
              </a:lnRef>
              <a:fillRef idx="1">
                <a:schemeClr val="accent1">
                  <a:hueOff val="0"/>
                  <a:satOff val="0"/>
                  <a:lumOff val="0"/>
                  <a:alphaOff val="0"/>
                </a:schemeClr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lt1"/>
              </a:fontRef>
            </xdr:style>
            <xdr:txBody>
              <a:bodyPr spcFirstLastPara="0" vert="horz" wrap="square" lIns="9525" tIns="9525" rIns="9525" bIns="9525" numCol="1" spcCol="1270" anchor="ctr" anchorCtr="0">
                <a:noAutofit/>
              </a:bodyPr>
              <a:lstStyle/>
              <a:p>
                <a:pPr lvl="0" algn="ctr" defTabSz="666750">
                  <a:lnSpc>
                    <a:spcPct val="90000"/>
                  </a:lnSpc>
                  <a:spcBef>
                    <a:spcPct val="0"/>
                  </a:spcBef>
                  <a:spcAft>
                    <a:spcPct val="35000"/>
                  </a:spcAft>
                </a:pPr>
                <a:r>
                  <a:rPr lang="en-US" sz="1500" kern="1200"/>
                  <a:t>Buys Brand New CW</a:t>
                </a:r>
              </a:p>
            </xdr:txBody>
          </xdr:sp>
          <xdr:sp macro="" textlink="">
            <xdr:nvSpPr>
              <xdr:cNvPr id="101" name="Freeform 100"/>
              <xdr:cNvSpPr/>
            </xdr:nvSpPr>
            <xdr:spPr>
              <a:xfrm>
                <a:off x="2819201" y="5811248"/>
                <a:ext cx="1646039" cy="823019"/>
              </a:xfrm>
              <a:custGeom>
                <a:avLst/>
                <a:gdLst>
                  <a:gd name="connsiteX0" fmla="*/ 0 w 1646039"/>
                  <a:gd name="connsiteY0" fmla="*/ 0 h 823019"/>
                  <a:gd name="connsiteX1" fmla="*/ 1646039 w 1646039"/>
                  <a:gd name="connsiteY1" fmla="*/ 0 h 823019"/>
                  <a:gd name="connsiteX2" fmla="*/ 1646039 w 1646039"/>
                  <a:gd name="connsiteY2" fmla="*/ 823019 h 823019"/>
                  <a:gd name="connsiteX3" fmla="*/ 0 w 1646039"/>
                  <a:gd name="connsiteY3" fmla="*/ 823019 h 823019"/>
                  <a:gd name="connsiteX4" fmla="*/ 0 w 1646039"/>
                  <a:gd name="connsiteY4" fmla="*/ 0 h 823019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</a:cxnLst>
                <a:rect l="l" t="t" r="r" b="b"/>
                <a:pathLst>
                  <a:path w="1646039" h="823019">
                    <a:moveTo>
                      <a:pt x="0" y="0"/>
                    </a:moveTo>
                    <a:lnTo>
                      <a:pt x="1646039" y="0"/>
                    </a:lnTo>
                    <a:lnTo>
                      <a:pt x="1646039" y="823019"/>
                    </a:lnTo>
                    <a:lnTo>
                      <a:pt x="0" y="823019"/>
                    </a:lnTo>
                    <a:lnTo>
                      <a:pt x="0" y="0"/>
                    </a:lnTo>
                    <a:close/>
                  </a:path>
                </a:pathLst>
              </a:custGeom>
              <a:solidFill>
                <a:schemeClr val="accent3"/>
              </a:solidFill>
            </xdr:spPr>
            <xdr:style>
              <a:lnRef idx="2">
                <a:schemeClr val="lt1">
                  <a:hueOff val="0"/>
                  <a:satOff val="0"/>
                  <a:lumOff val="0"/>
                  <a:alphaOff val="0"/>
                </a:schemeClr>
              </a:lnRef>
              <a:fillRef idx="1">
                <a:scrgbClr r="0" g="0" b="0"/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lt1"/>
              </a:fontRef>
            </xdr:style>
            <xdr:txBody>
              <a:bodyPr spcFirstLastPara="0" vert="horz" wrap="square" lIns="9525" tIns="9525" rIns="9525" bIns="9525" numCol="1" spcCol="1270" anchor="ctr" anchorCtr="0">
                <a:noAutofit/>
              </a:bodyPr>
              <a:lstStyle/>
              <a:p>
                <a:pPr lvl="0" algn="ctr" defTabSz="666750">
                  <a:lnSpc>
                    <a:spcPct val="90000"/>
                  </a:lnSpc>
                  <a:spcBef>
                    <a:spcPct val="0"/>
                  </a:spcBef>
                  <a:spcAft>
                    <a:spcPct val="35000"/>
                  </a:spcAft>
                </a:pPr>
                <a:r>
                  <a:rPr lang="en-US" sz="1500" kern="1200"/>
                  <a:t>UEC = Title 20 UEC</a:t>
                </a:r>
              </a:p>
              <a:p>
                <a:pPr lvl="0" algn="ctr" defTabSz="666750">
                  <a:lnSpc>
                    <a:spcPct val="90000"/>
                  </a:lnSpc>
                  <a:spcBef>
                    <a:spcPct val="0"/>
                  </a:spcBef>
                  <a:spcAft>
                    <a:spcPct val="35000"/>
                  </a:spcAft>
                </a:pPr>
                <a:r>
                  <a:rPr lang="en-US" sz="1500" kern="1200"/>
                  <a:t>UES = Baseline UEC - Title 20 UEC</a:t>
                </a:r>
              </a:p>
            </xdr:txBody>
          </xdr:sp>
          <xdr:sp macro="" textlink="">
            <xdr:nvSpPr>
              <xdr:cNvPr id="102" name="Freeform 101"/>
              <xdr:cNvSpPr/>
            </xdr:nvSpPr>
            <xdr:spPr>
              <a:xfrm>
                <a:off x="4661958" y="4845887"/>
                <a:ext cx="1646039" cy="823019"/>
              </a:xfrm>
              <a:custGeom>
                <a:avLst/>
                <a:gdLst>
                  <a:gd name="connsiteX0" fmla="*/ 0 w 1646039"/>
                  <a:gd name="connsiteY0" fmla="*/ 0 h 823019"/>
                  <a:gd name="connsiteX1" fmla="*/ 1646039 w 1646039"/>
                  <a:gd name="connsiteY1" fmla="*/ 0 h 823019"/>
                  <a:gd name="connsiteX2" fmla="*/ 1646039 w 1646039"/>
                  <a:gd name="connsiteY2" fmla="*/ 823019 h 823019"/>
                  <a:gd name="connsiteX3" fmla="*/ 0 w 1646039"/>
                  <a:gd name="connsiteY3" fmla="*/ 823019 h 823019"/>
                  <a:gd name="connsiteX4" fmla="*/ 0 w 1646039"/>
                  <a:gd name="connsiteY4" fmla="*/ 0 h 823019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</a:cxnLst>
                <a:rect l="l" t="t" r="r" b="b"/>
                <a:pathLst>
                  <a:path w="1646039" h="823019">
                    <a:moveTo>
                      <a:pt x="0" y="0"/>
                    </a:moveTo>
                    <a:lnTo>
                      <a:pt x="1646039" y="0"/>
                    </a:lnTo>
                    <a:lnTo>
                      <a:pt x="1646039" y="823019"/>
                    </a:lnTo>
                    <a:lnTo>
                      <a:pt x="0" y="823019"/>
                    </a:lnTo>
                    <a:lnTo>
                      <a:pt x="0" y="0"/>
                    </a:lnTo>
                    <a:close/>
                  </a:path>
                </a:pathLst>
              </a:custGeom>
            </xdr:spPr>
            <xdr:style>
              <a:lnRef idx="2">
                <a:schemeClr val="lt1">
                  <a:hueOff val="0"/>
                  <a:satOff val="0"/>
                  <a:lumOff val="0"/>
                  <a:alphaOff val="0"/>
                </a:schemeClr>
              </a:lnRef>
              <a:fillRef idx="1">
                <a:schemeClr val="accent1">
                  <a:hueOff val="0"/>
                  <a:satOff val="0"/>
                  <a:lumOff val="0"/>
                  <a:alphaOff val="0"/>
                </a:schemeClr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lt1"/>
              </a:fontRef>
            </xdr:style>
            <xdr:txBody>
              <a:bodyPr spcFirstLastPara="0" vert="horz" wrap="square" lIns="9525" tIns="9525" rIns="9525" bIns="9525" numCol="1" spcCol="1270" anchor="ctr" anchorCtr="0">
                <a:noAutofit/>
              </a:bodyPr>
              <a:lstStyle/>
              <a:p>
                <a:pPr lvl="0" algn="ctr" defTabSz="666750">
                  <a:lnSpc>
                    <a:spcPct val="90000"/>
                  </a:lnSpc>
                  <a:spcBef>
                    <a:spcPct val="0"/>
                  </a:spcBef>
                  <a:spcAft>
                    <a:spcPct val="35000"/>
                  </a:spcAft>
                </a:pPr>
                <a:r>
                  <a:rPr lang="en-US" sz="1500" kern="1200"/>
                  <a:t>Buys Similar Used CW</a:t>
                </a:r>
              </a:p>
            </xdr:txBody>
          </xdr:sp>
          <xdr:sp macro="" textlink="">
            <xdr:nvSpPr>
              <xdr:cNvPr id="103" name="Freeform 102"/>
              <xdr:cNvSpPr/>
            </xdr:nvSpPr>
            <xdr:spPr>
              <a:xfrm>
                <a:off x="4665333" y="5811248"/>
                <a:ext cx="1646039" cy="823019"/>
              </a:xfrm>
              <a:custGeom>
                <a:avLst/>
                <a:gdLst>
                  <a:gd name="connsiteX0" fmla="*/ 0 w 1646039"/>
                  <a:gd name="connsiteY0" fmla="*/ 0 h 823019"/>
                  <a:gd name="connsiteX1" fmla="*/ 1646039 w 1646039"/>
                  <a:gd name="connsiteY1" fmla="*/ 0 h 823019"/>
                  <a:gd name="connsiteX2" fmla="*/ 1646039 w 1646039"/>
                  <a:gd name="connsiteY2" fmla="*/ 823019 h 823019"/>
                  <a:gd name="connsiteX3" fmla="*/ 0 w 1646039"/>
                  <a:gd name="connsiteY3" fmla="*/ 823019 h 823019"/>
                  <a:gd name="connsiteX4" fmla="*/ 0 w 1646039"/>
                  <a:gd name="connsiteY4" fmla="*/ 0 h 823019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</a:cxnLst>
                <a:rect l="l" t="t" r="r" b="b"/>
                <a:pathLst>
                  <a:path w="1646039" h="823019">
                    <a:moveTo>
                      <a:pt x="0" y="0"/>
                    </a:moveTo>
                    <a:lnTo>
                      <a:pt x="1646039" y="0"/>
                    </a:lnTo>
                    <a:lnTo>
                      <a:pt x="1646039" y="823019"/>
                    </a:lnTo>
                    <a:lnTo>
                      <a:pt x="0" y="823019"/>
                    </a:lnTo>
                    <a:lnTo>
                      <a:pt x="0" y="0"/>
                    </a:lnTo>
                    <a:close/>
                  </a:path>
                </a:pathLst>
              </a:custGeom>
              <a:solidFill>
                <a:schemeClr val="accent2"/>
              </a:solidFill>
            </xdr:spPr>
            <xdr:style>
              <a:lnRef idx="2">
                <a:schemeClr val="lt1">
                  <a:hueOff val="0"/>
                  <a:satOff val="0"/>
                  <a:lumOff val="0"/>
                  <a:alphaOff val="0"/>
                </a:schemeClr>
              </a:lnRef>
              <a:fillRef idx="1">
                <a:scrgbClr r="0" g="0" b="0"/>
              </a:fillRef>
              <a:effectRef idx="0">
                <a:schemeClr val="accent1">
                  <a:hueOff val="0"/>
                  <a:satOff val="0"/>
                  <a:lumOff val="0"/>
                  <a:alphaOff val="0"/>
                </a:schemeClr>
              </a:effectRef>
              <a:fontRef idx="minor">
                <a:schemeClr val="lt1"/>
              </a:fontRef>
            </xdr:style>
            <xdr:txBody>
              <a:bodyPr spcFirstLastPara="0" vert="horz" wrap="square" lIns="9525" tIns="9525" rIns="9525" bIns="9525" numCol="1" spcCol="1270" anchor="ctr" anchorCtr="0">
                <a:noAutofit/>
              </a:bodyPr>
              <a:lstStyle/>
              <a:p>
                <a:pPr lvl="0" algn="ctr" defTabSz="666750">
                  <a:lnSpc>
                    <a:spcPct val="90000"/>
                  </a:lnSpc>
                  <a:spcBef>
                    <a:spcPct val="0"/>
                  </a:spcBef>
                  <a:spcAft>
                    <a:spcPct val="35000"/>
                  </a:spcAft>
                </a:pPr>
                <a:r>
                  <a:rPr lang="en-US" sz="1500" kern="1200"/>
                  <a:t>UEC = Baseline UEC</a:t>
                </a:r>
              </a:p>
              <a:p>
                <a:pPr lvl="0" algn="ctr" defTabSz="666750">
                  <a:lnSpc>
                    <a:spcPct val="90000"/>
                  </a:lnSpc>
                  <a:spcBef>
                    <a:spcPct val="0"/>
                  </a:spcBef>
                  <a:spcAft>
                    <a:spcPct val="35000"/>
                  </a:spcAft>
                </a:pPr>
                <a:r>
                  <a:rPr lang="en-US" sz="1500" kern="1200"/>
                  <a:t>UES = Baseline UEC - Baseline UEC = 0</a:t>
                </a:r>
              </a:p>
            </xdr:txBody>
          </xdr:sp>
        </xdr:grpSp>
        <xdr:sp macro="" textlink="">
          <xdr:nvSpPr>
            <xdr:cNvPr id="131" name="Freeform 130"/>
            <xdr:cNvSpPr/>
          </xdr:nvSpPr>
          <xdr:spPr>
            <a:xfrm>
              <a:off x="3657600" y="5826286"/>
              <a:ext cx="91440" cy="231614"/>
            </a:xfrm>
            <a:custGeom>
              <a:avLst/>
              <a:gdLst/>
              <a:ahLst/>
              <a:cxnLst/>
              <a:rect l="0" t="0" r="0" b="0"/>
              <a:pathLst>
                <a:path>
                  <a:moveTo>
                    <a:pt x="45720" y="0"/>
                  </a:moveTo>
                  <a:lnTo>
                    <a:pt x="45720" y="58780"/>
                  </a:lnTo>
                  <a:lnTo>
                    <a:pt x="48551" y="58780"/>
                  </a:lnTo>
                  <a:lnTo>
                    <a:pt x="48551" y="231614"/>
                  </a:lnTo>
                </a:path>
              </a:pathLst>
            </a:custGeom>
            <a:noFill/>
          </xdr:spPr>
          <xdr:style>
            <a:lnRef idx="2">
              <a:schemeClr val="accent1">
                <a:shade val="80000"/>
                <a:hueOff val="0"/>
                <a:satOff val="0"/>
                <a:lumOff val="0"/>
                <a:alphaOff val="0"/>
              </a:schemeClr>
            </a:lnRef>
            <a:fillRef idx="0">
              <a:scrgbClr r="0" g="0" b="0"/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tx1">
                <a:hueOff val="0"/>
                <a:satOff val="0"/>
                <a:lumOff val="0"/>
                <a:alphaOff val="0"/>
              </a:schemeClr>
            </a:fontRef>
          </xdr:style>
        </xdr:sp>
      </xdr:grpSp>
    </xdr:grpSp>
    <xdr:clientData/>
  </xdr:twoCellAnchor>
  <xdr:twoCellAnchor>
    <xdr:from>
      <xdr:col>2</xdr:col>
      <xdr:colOff>0</xdr:colOff>
      <xdr:row>0</xdr:row>
      <xdr:rowOff>19050</xdr:rowOff>
    </xdr:from>
    <xdr:to>
      <xdr:col>9</xdr:col>
      <xdr:colOff>304800</xdr:colOff>
      <xdr:row>2</xdr:row>
      <xdr:rowOff>19050</xdr:rowOff>
    </xdr:to>
    <xdr:sp macro="" textlink="">
      <xdr:nvSpPr>
        <xdr:cNvPr id="135" name="TextBox 134"/>
        <xdr:cNvSpPr txBox="1"/>
      </xdr:nvSpPr>
      <xdr:spPr>
        <a:xfrm>
          <a:off x="1219200" y="19050"/>
          <a:ext cx="4572000" cy="381000"/>
        </a:xfrm>
        <a:prstGeom prst="rect">
          <a:avLst/>
        </a:prstGeom>
        <a:noFill/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400" b="1"/>
            <a:t>Net Savings Attributable to Measure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2080260</xdr:colOff>
          <xdr:row>12</xdr:row>
          <xdr:rowOff>30480</xdr:rowOff>
        </xdr:from>
        <xdr:to>
          <xdr:col>1</xdr:col>
          <xdr:colOff>289560</xdr:colOff>
          <xdr:row>15</xdr:row>
          <xdr:rowOff>144780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43542</xdr:colOff>
      <xdr:row>44</xdr:row>
      <xdr:rowOff>26125</xdr:rowOff>
    </xdr:from>
    <xdr:to>
      <xdr:col>42</xdr:col>
      <xdr:colOff>586086</xdr:colOff>
      <xdr:row>70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43543</xdr:colOff>
      <xdr:row>44</xdr:row>
      <xdr:rowOff>15240</xdr:rowOff>
    </xdr:from>
    <xdr:to>
      <xdr:col>57</xdr:col>
      <xdr:colOff>587829</xdr:colOff>
      <xdr:row>70</xdr:row>
      <xdr:rowOff>141514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thomas/AppData/Local/Microsoft/Windows/Temporary%20Internet%20Files/Content.Outlook/1JJXV25Y/CEE%20Dishwasher%20submittal%20BSH%200516201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 DW Template"/>
      <sheetName val="Sheet1"/>
    </sheetNames>
    <sheetDataSet>
      <sheetData sheetId="0" refreshError="1"/>
      <sheetData sheetId="1">
        <row r="1">
          <cell r="A1" t="str">
            <v>Addition</v>
          </cell>
        </row>
        <row r="2">
          <cell r="A2" t="str">
            <v>Discontinued</v>
          </cell>
        </row>
        <row r="3">
          <cell r="A3" t="str">
            <v>Revision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www.energystar.gov/ia/partners/downloads/unit_shipment_data/2013_USD_Summary_Report.pdf?4d23-0994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1.eere.energy.gov/buildings/appliance_standards/residential/pdfs/rcw_dfr_tsd_ch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6"/>
  <sheetViews>
    <sheetView tabSelected="1" workbookViewId="0">
      <selection activeCell="E16" sqref="E16"/>
    </sheetView>
  </sheetViews>
  <sheetFormatPr defaultRowHeight="14.4"/>
  <sheetData>
    <row r="2" spans="1:14">
      <c r="A2" s="724" t="s">
        <v>484</v>
      </c>
      <c r="B2" s="724"/>
      <c r="C2" s="724"/>
      <c r="D2" s="724"/>
      <c r="E2" s="725"/>
      <c r="F2" s="725"/>
      <c r="G2" s="724"/>
    </row>
    <row r="3" spans="1:14">
      <c r="E3" s="712"/>
      <c r="F3" s="712"/>
    </row>
    <row r="4" spans="1:14">
      <c r="E4" s="713" t="s">
        <v>485</v>
      </c>
      <c r="F4" s="713"/>
      <c r="G4" s="10" t="s">
        <v>471</v>
      </c>
    </row>
    <row r="5" spans="1:14">
      <c r="E5" s="712"/>
      <c r="F5" s="712"/>
    </row>
    <row r="6" spans="1:14">
      <c r="E6" s="712" t="s">
        <v>472</v>
      </c>
      <c r="F6" s="712"/>
      <c r="G6" t="s">
        <v>473</v>
      </c>
    </row>
    <row r="7" spans="1:14">
      <c r="E7" s="712"/>
      <c r="F7" s="712"/>
      <c r="G7" s="723" t="s">
        <v>483</v>
      </c>
      <c r="H7" s="723"/>
      <c r="I7" s="723"/>
      <c r="J7" s="723"/>
      <c r="K7" s="723"/>
      <c r="L7" s="723"/>
      <c r="M7" s="723"/>
      <c r="N7" s="723"/>
    </row>
    <row r="8" spans="1:14">
      <c r="E8" s="712"/>
      <c r="F8" s="712"/>
    </row>
    <row r="9" spans="1:14">
      <c r="E9" s="712" t="s">
        <v>474</v>
      </c>
      <c r="F9" s="712"/>
      <c r="G9" t="s">
        <v>475</v>
      </c>
    </row>
    <row r="10" spans="1:14">
      <c r="E10" s="712"/>
      <c r="F10" s="712"/>
    </row>
    <row r="11" spans="1:14">
      <c r="E11" s="712" t="s">
        <v>476</v>
      </c>
      <c r="F11" s="712"/>
      <c r="G11" t="s">
        <v>477</v>
      </c>
    </row>
    <row r="12" spans="1:14">
      <c r="E12" s="712"/>
      <c r="F12" s="712"/>
    </row>
    <row r="13" spans="1:14">
      <c r="E13" s="712" t="s">
        <v>478</v>
      </c>
      <c r="F13" s="712"/>
      <c r="G13" t="s">
        <v>479</v>
      </c>
    </row>
    <row r="14" spans="1:14">
      <c r="E14" s="712"/>
      <c r="F14" s="712"/>
    </row>
    <row r="15" spans="1:14">
      <c r="E15" s="712" t="s">
        <v>480</v>
      </c>
      <c r="F15" s="712"/>
      <c r="G15" t="s">
        <v>481</v>
      </c>
    </row>
    <row r="16" spans="1:14">
      <c r="E16" s="712"/>
      <c r="F16" s="71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I9" sqref="I9"/>
    </sheetView>
  </sheetViews>
  <sheetFormatPr defaultRowHeight="14.4"/>
  <cols>
    <col min="1" max="1" width="39.109375" customWidth="1"/>
    <col min="2" max="2" width="14.44140625" bestFit="1" customWidth="1"/>
    <col min="3" max="3" width="29.88671875" bestFit="1" customWidth="1"/>
    <col min="5" max="5" width="10.109375" bestFit="1" customWidth="1"/>
    <col min="7" max="7" width="10.109375" bestFit="1" customWidth="1"/>
    <col min="8" max="8" width="12.5546875" customWidth="1"/>
    <col min="9" max="9" width="14" bestFit="1" customWidth="1"/>
    <col min="17" max="17" width="10.109375" bestFit="1" customWidth="1"/>
  </cols>
  <sheetData>
    <row r="1" spans="1:17" ht="16.2" thickBot="1">
      <c r="A1" s="790" t="s">
        <v>61</v>
      </c>
      <c r="B1" s="790"/>
      <c r="C1" s="790"/>
      <c r="D1" s="30" t="s">
        <v>62</v>
      </c>
      <c r="E1" s="20"/>
      <c r="F1" s="20"/>
      <c r="G1" s="20"/>
      <c r="M1" s="76"/>
      <c r="N1" s="77"/>
      <c r="O1" s="77"/>
      <c r="P1" s="77"/>
      <c r="Q1" s="78"/>
    </row>
    <row r="2" spans="1:17" ht="15" thickBot="1">
      <c r="A2" s="20"/>
      <c r="B2" s="20"/>
      <c r="C2" s="20"/>
      <c r="D2" s="20"/>
      <c r="E2" s="20"/>
      <c r="F2" s="20"/>
      <c r="G2" s="20"/>
      <c r="M2" s="4" t="s">
        <v>14</v>
      </c>
      <c r="N2" s="1">
        <v>4634082</v>
      </c>
      <c r="O2" s="2"/>
      <c r="P2" s="2"/>
      <c r="Q2" s="5">
        <v>4634082</v>
      </c>
    </row>
    <row r="3" spans="1:17" ht="15" thickBot="1">
      <c r="A3" s="79" t="s">
        <v>18</v>
      </c>
      <c r="B3" s="20"/>
      <c r="C3" s="30" t="s">
        <v>63</v>
      </c>
      <c r="D3" s="31"/>
      <c r="E3" s="31"/>
      <c r="F3" s="31"/>
      <c r="G3" s="31"/>
      <c r="H3" s="32"/>
      <c r="I3" s="32"/>
      <c r="M3" s="4" t="s">
        <v>15</v>
      </c>
      <c r="N3" s="2"/>
      <c r="O3" s="1">
        <v>1230071</v>
      </c>
      <c r="P3" s="2"/>
      <c r="Q3" s="5">
        <v>1230071</v>
      </c>
    </row>
    <row r="4" spans="1:17" ht="15" thickBot="1">
      <c r="A4" s="20"/>
      <c r="B4" s="20"/>
      <c r="C4" s="20"/>
      <c r="D4" s="20"/>
      <c r="E4" s="20"/>
      <c r="F4" s="20"/>
      <c r="G4" s="20"/>
      <c r="M4" s="4" t="s">
        <v>16</v>
      </c>
      <c r="N4" s="2"/>
      <c r="O4" s="2"/>
      <c r="P4" s="1">
        <v>4371616</v>
      </c>
      <c r="Q4" s="5">
        <v>4371616</v>
      </c>
    </row>
    <row r="5" spans="1:17" ht="39" customHeight="1" thickBot="1">
      <c r="A5" s="24" t="s">
        <v>19</v>
      </c>
      <c r="B5" s="793" t="s">
        <v>20</v>
      </c>
      <c r="C5" s="793"/>
      <c r="D5" s="793" t="s">
        <v>21</v>
      </c>
      <c r="E5" s="793"/>
      <c r="F5" s="793" t="s">
        <v>22</v>
      </c>
      <c r="G5" s="793"/>
      <c r="H5" s="27" t="s">
        <v>23</v>
      </c>
      <c r="M5" s="6" t="s">
        <v>1</v>
      </c>
      <c r="N5" s="3">
        <v>4634082</v>
      </c>
      <c r="O5" s="3">
        <v>1230071</v>
      </c>
      <c r="P5" s="3">
        <v>4371616</v>
      </c>
      <c r="Q5" s="7">
        <f>SUM(N5:P5)</f>
        <v>10235769</v>
      </c>
    </row>
    <row r="6" spans="1:17" ht="15" thickBot="1">
      <c r="A6" s="28"/>
      <c r="B6" s="29" t="s">
        <v>24</v>
      </c>
      <c r="C6" s="29" t="s">
        <v>25</v>
      </c>
      <c r="D6" s="29" t="s">
        <v>24</v>
      </c>
      <c r="E6" s="29" t="s">
        <v>25</v>
      </c>
      <c r="F6" s="791" t="s">
        <v>25</v>
      </c>
      <c r="G6" s="791"/>
      <c r="H6" s="29" t="s">
        <v>25</v>
      </c>
      <c r="M6" s="8"/>
      <c r="N6" s="21">
        <v>0.45300000000000001</v>
      </c>
      <c r="O6" s="22">
        <v>0.12</v>
      </c>
      <c r="P6" s="23">
        <v>0.42699999999999999</v>
      </c>
      <c r="Q6" s="9">
        <v>1</v>
      </c>
    </row>
    <row r="7" spans="1:17">
      <c r="A7" s="25" t="s">
        <v>26</v>
      </c>
      <c r="B7" s="26">
        <v>0.03</v>
      </c>
      <c r="C7" s="26">
        <v>0.57999999999999996</v>
      </c>
      <c r="D7" s="26">
        <v>0.14000000000000001</v>
      </c>
      <c r="E7" s="26">
        <v>3.66</v>
      </c>
      <c r="F7" s="792">
        <v>0.21</v>
      </c>
      <c r="G7" s="792"/>
      <c r="H7" s="26">
        <v>4.45</v>
      </c>
    </row>
    <row r="9" spans="1:17">
      <c r="A9" s="79" t="s">
        <v>38</v>
      </c>
      <c r="B9" s="20"/>
      <c r="C9" s="30" t="s">
        <v>64</v>
      </c>
      <c r="D9" s="31"/>
      <c r="E9" s="31"/>
      <c r="F9" s="31"/>
      <c r="G9" s="31"/>
      <c r="H9" s="32"/>
    </row>
    <row r="10" spans="1:17">
      <c r="A10" s="20"/>
      <c r="B10" s="20"/>
      <c r="C10" s="20"/>
      <c r="D10" s="20"/>
      <c r="E10" s="20"/>
      <c r="F10" s="20"/>
      <c r="G10" s="20"/>
    </row>
    <row r="11" spans="1:17" ht="29.25" customHeight="1">
      <c r="A11" s="24" t="s">
        <v>19</v>
      </c>
      <c r="B11" s="793" t="s">
        <v>39</v>
      </c>
      <c r="C11" s="793"/>
      <c r="D11" s="793" t="s">
        <v>40</v>
      </c>
      <c r="E11" s="793"/>
      <c r="F11" s="793" t="s">
        <v>41</v>
      </c>
      <c r="G11" s="793"/>
    </row>
    <row r="12" spans="1:17">
      <c r="A12" s="25" t="s">
        <v>26</v>
      </c>
      <c r="B12" s="794">
        <v>3.8</v>
      </c>
      <c r="C12" s="795"/>
      <c r="D12" s="794">
        <v>37.4</v>
      </c>
      <c r="E12" s="795"/>
      <c r="F12" s="792">
        <v>41.2</v>
      </c>
      <c r="G12" s="792"/>
    </row>
  </sheetData>
  <mergeCells count="12">
    <mergeCell ref="F12:G12"/>
    <mergeCell ref="B12:C12"/>
    <mergeCell ref="D12:E12"/>
    <mergeCell ref="B5:C5"/>
    <mergeCell ref="D5:E5"/>
    <mergeCell ref="F5:G5"/>
    <mergeCell ref="A1:C1"/>
    <mergeCell ref="F6:G6"/>
    <mergeCell ref="F7:G7"/>
    <mergeCell ref="B11:C11"/>
    <mergeCell ref="D11:E11"/>
    <mergeCell ref="F11:G11"/>
  </mergeCells>
  <pageMargins left="0.7" right="0.7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62"/>
  <sheetViews>
    <sheetView topLeftCell="A22" workbookViewId="0">
      <selection activeCell="I9" sqref="I9:J9"/>
    </sheetView>
  </sheetViews>
  <sheetFormatPr defaultColWidth="9.109375" defaultRowHeight="13.2"/>
  <cols>
    <col min="1" max="1" width="2.6640625" style="277" customWidth="1"/>
    <col min="2" max="2" width="15.88671875" style="277" customWidth="1"/>
    <col min="3" max="11" width="11.5546875" style="277" customWidth="1"/>
    <col min="12" max="16384" width="9.109375" style="277"/>
  </cols>
  <sheetData>
    <row r="1" spans="2:57" ht="15.6">
      <c r="B1" s="276" t="s">
        <v>305</v>
      </c>
    </row>
    <row r="2" spans="2:57" ht="15.6">
      <c r="B2" s="278" t="s">
        <v>306</v>
      </c>
    </row>
    <row r="4" spans="2:57">
      <c r="B4" s="279" t="s">
        <v>160</v>
      </c>
      <c r="C4" s="277" t="s">
        <v>14</v>
      </c>
      <c r="E4" s="279" t="s">
        <v>161</v>
      </c>
      <c r="F4" s="277" t="s">
        <v>162</v>
      </c>
      <c r="U4" s="279" t="s">
        <v>160</v>
      </c>
      <c r="V4" s="277" t="s">
        <v>16</v>
      </c>
      <c r="X4" s="279" t="s">
        <v>161</v>
      </c>
      <c r="Y4" s="277" t="s">
        <v>162</v>
      </c>
      <c r="AN4" s="279" t="s">
        <v>160</v>
      </c>
      <c r="AO4" s="277" t="s">
        <v>15</v>
      </c>
      <c r="AQ4" s="279" t="s">
        <v>161</v>
      </c>
      <c r="AR4" s="277" t="s">
        <v>162</v>
      </c>
    </row>
    <row r="5" spans="2:57">
      <c r="B5" s="279" t="s">
        <v>163</v>
      </c>
      <c r="C5" s="277" t="s">
        <v>164</v>
      </c>
      <c r="E5" s="279" t="s">
        <v>165</v>
      </c>
      <c r="F5" s="277" t="s">
        <v>166</v>
      </c>
      <c r="U5" s="279" t="s">
        <v>163</v>
      </c>
      <c r="V5" s="277" t="s">
        <v>164</v>
      </c>
      <c r="X5" s="279" t="s">
        <v>165</v>
      </c>
      <c r="Y5" s="277" t="s">
        <v>166</v>
      </c>
      <c r="AN5" s="279" t="s">
        <v>163</v>
      </c>
      <c r="AO5" s="277" t="s">
        <v>164</v>
      </c>
      <c r="AQ5" s="279" t="s">
        <v>165</v>
      </c>
      <c r="AR5" s="277" t="s">
        <v>166</v>
      </c>
    </row>
    <row r="7" spans="2:57" ht="21">
      <c r="B7" s="280" t="s">
        <v>307</v>
      </c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U7" s="282" t="s">
        <v>308</v>
      </c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F7" s="283"/>
      <c r="AG7" s="283"/>
      <c r="AH7" s="283"/>
      <c r="AI7" s="283"/>
      <c r="AJ7" s="283"/>
      <c r="AK7" s="283"/>
      <c r="AL7" s="283"/>
      <c r="AN7" s="284" t="s">
        <v>309</v>
      </c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5"/>
    </row>
    <row r="8" spans="2:57" ht="15" thickBot="1">
      <c r="B8" s="286" t="s">
        <v>310</v>
      </c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U8" s="286" t="s">
        <v>310</v>
      </c>
      <c r="V8" s="283"/>
      <c r="W8" s="283"/>
      <c r="X8" s="283"/>
      <c r="Y8" s="283"/>
      <c r="Z8" s="283"/>
      <c r="AA8" s="283"/>
      <c r="AB8" s="283"/>
      <c r="AC8" s="283"/>
      <c r="AD8" s="283"/>
      <c r="AE8" s="283"/>
      <c r="AF8" s="283"/>
      <c r="AG8" s="283"/>
      <c r="AH8" s="283"/>
      <c r="AI8" s="283"/>
      <c r="AJ8" s="283"/>
      <c r="AK8" s="283"/>
      <c r="AL8" s="283"/>
      <c r="AN8" s="286" t="s">
        <v>310</v>
      </c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5"/>
    </row>
    <row r="9" spans="2:57" ht="14.4">
      <c r="B9" s="826" t="s">
        <v>311</v>
      </c>
      <c r="C9" s="827"/>
      <c r="D9" s="827"/>
      <c r="E9" s="827"/>
      <c r="F9" s="828"/>
      <c r="G9" s="829" t="s">
        <v>312</v>
      </c>
      <c r="H9" s="830"/>
      <c r="I9" s="829" t="s">
        <v>168</v>
      </c>
      <c r="J9" s="830"/>
      <c r="K9" s="831" t="s">
        <v>167</v>
      </c>
      <c r="L9" s="827"/>
      <c r="M9" s="827"/>
      <c r="N9" s="827"/>
      <c r="O9" s="827"/>
      <c r="P9" s="828"/>
      <c r="Q9" s="829" t="s">
        <v>313</v>
      </c>
      <c r="R9" s="832"/>
      <c r="S9" s="833"/>
      <c r="U9" s="834" t="s">
        <v>311</v>
      </c>
      <c r="V9" s="821"/>
      <c r="W9" s="821"/>
      <c r="X9" s="821"/>
      <c r="Y9" s="822"/>
      <c r="Z9" s="818" t="s">
        <v>312</v>
      </c>
      <c r="AA9" s="819"/>
      <c r="AB9" s="818" t="s">
        <v>168</v>
      </c>
      <c r="AC9" s="819"/>
      <c r="AD9" s="820" t="s">
        <v>167</v>
      </c>
      <c r="AE9" s="821"/>
      <c r="AF9" s="821"/>
      <c r="AG9" s="821"/>
      <c r="AH9" s="821"/>
      <c r="AI9" s="822"/>
      <c r="AJ9" s="818" t="s">
        <v>313</v>
      </c>
      <c r="AK9" s="823"/>
      <c r="AL9" s="824"/>
      <c r="AN9" s="825" t="s">
        <v>311</v>
      </c>
      <c r="AO9" s="805"/>
      <c r="AP9" s="805"/>
      <c r="AQ9" s="805"/>
      <c r="AR9" s="806"/>
      <c r="AS9" s="802" t="s">
        <v>312</v>
      </c>
      <c r="AT9" s="803"/>
      <c r="AU9" s="802" t="s">
        <v>168</v>
      </c>
      <c r="AV9" s="803"/>
      <c r="AW9" s="804" t="s">
        <v>167</v>
      </c>
      <c r="AX9" s="805"/>
      <c r="AY9" s="805"/>
      <c r="AZ9" s="805"/>
      <c r="BA9" s="805"/>
      <c r="BB9" s="806"/>
      <c r="BC9" s="802" t="s">
        <v>313</v>
      </c>
      <c r="BD9" s="807"/>
      <c r="BE9" s="808"/>
    </row>
    <row r="10" spans="2:57" ht="15.6">
      <c r="B10" s="287" t="s">
        <v>168</v>
      </c>
      <c r="C10" s="288"/>
      <c r="D10" s="288" t="s">
        <v>169</v>
      </c>
      <c r="E10" s="288" t="s">
        <v>169</v>
      </c>
      <c r="F10" s="288" t="s">
        <v>314</v>
      </c>
      <c r="G10" s="289" t="s">
        <v>315</v>
      </c>
      <c r="H10" s="290" t="s">
        <v>316</v>
      </c>
      <c r="I10" s="289" t="s">
        <v>317</v>
      </c>
      <c r="J10" s="290" t="s">
        <v>318</v>
      </c>
      <c r="K10" s="809" t="s">
        <v>319</v>
      </c>
      <c r="L10" s="810"/>
      <c r="M10" s="811"/>
      <c r="N10" s="809" t="s">
        <v>320</v>
      </c>
      <c r="O10" s="810"/>
      <c r="P10" s="811"/>
      <c r="Q10" s="288" t="s">
        <v>170</v>
      </c>
      <c r="R10" s="288" t="s">
        <v>171</v>
      </c>
      <c r="S10" s="291" t="s">
        <v>172</v>
      </c>
      <c r="U10" s="292" t="s">
        <v>168</v>
      </c>
      <c r="V10" s="293"/>
      <c r="W10" s="293" t="s">
        <v>169</v>
      </c>
      <c r="X10" s="293" t="s">
        <v>169</v>
      </c>
      <c r="Y10" s="293" t="s">
        <v>314</v>
      </c>
      <c r="Z10" s="294" t="s">
        <v>315</v>
      </c>
      <c r="AA10" s="295" t="s">
        <v>316</v>
      </c>
      <c r="AB10" s="294" t="s">
        <v>317</v>
      </c>
      <c r="AC10" s="295" t="s">
        <v>318</v>
      </c>
      <c r="AD10" s="812" t="s">
        <v>319</v>
      </c>
      <c r="AE10" s="813"/>
      <c r="AF10" s="814"/>
      <c r="AG10" s="812" t="s">
        <v>320</v>
      </c>
      <c r="AH10" s="813"/>
      <c r="AI10" s="814"/>
      <c r="AJ10" s="293" t="s">
        <v>170</v>
      </c>
      <c r="AK10" s="293" t="s">
        <v>171</v>
      </c>
      <c r="AL10" s="296" t="s">
        <v>172</v>
      </c>
      <c r="AN10" s="297" t="s">
        <v>168</v>
      </c>
      <c r="AO10" s="298"/>
      <c r="AP10" s="298" t="s">
        <v>169</v>
      </c>
      <c r="AQ10" s="298" t="s">
        <v>169</v>
      </c>
      <c r="AR10" s="298" t="s">
        <v>314</v>
      </c>
      <c r="AS10" s="299" t="s">
        <v>315</v>
      </c>
      <c r="AT10" s="300" t="s">
        <v>316</v>
      </c>
      <c r="AU10" s="299" t="s">
        <v>317</v>
      </c>
      <c r="AV10" s="300" t="s">
        <v>318</v>
      </c>
      <c r="AW10" s="815" t="s">
        <v>319</v>
      </c>
      <c r="AX10" s="816"/>
      <c r="AY10" s="817"/>
      <c r="AZ10" s="815" t="s">
        <v>320</v>
      </c>
      <c r="BA10" s="816"/>
      <c r="BB10" s="817"/>
      <c r="BC10" s="298" t="s">
        <v>170</v>
      </c>
      <c r="BD10" s="298" t="s">
        <v>171</v>
      </c>
      <c r="BE10" s="301" t="s">
        <v>172</v>
      </c>
    </row>
    <row r="11" spans="2:57" ht="28.2" thickBot="1">
      <c r="B11" s="302" t="s">
        <v>8</v>
      </c>
      <c r="C11" s="303" t="s">
        <v>321</v>
      </c>
      <c r="D11" s="303" t="s">
        <v>173</v>
      </c>
      <c r="E11" s="303" t="s">
        <v>8</v>
      </c>
      <c r="F11" s="303" t="s">
        <v>322</v>
      </c>
      <c r="G11" s="304" t="s">
        <v>323</v>
      </c>
      <c r="H11" s="305" t="s">
        <v>178</v>
      </c>
      <c r="I11" s="304" t="s">
        <v>323</v>
      </c>
      <c r="J11" s="305" t="s">
        <v>178</v>
      </c>
      <c r="K11" s="306" t="s">
        <v>174</v>
      </c>
      <c r="L11" s="307" t="s">
        <v>175</v>
      </c>
      <c r="M11" s="308" t="s">
        <v>176</v>
      </c>
      <c r="N11" s="306" t="s">
        <v>174</v>
      </c>
      <c r="O11" s="307" t="s">
        <v>175</v>
      </c>
      <c r="P11" s="308" t="s">
        <v>176</v>
      </c>
      <c r="Q11" s="307" t="s">
        <v>177</v>
      </c>
      <c r="R11" s="307" t="s">
        <v>178</v>
      </c>
      <c r="S11" s="309" t="s">
        <v>179</v>
      </c>
      <c r="U11" s="310" t="s">
        <v>8</v>
      </c>
      <c r="V11" s="311" t="s">
        <v>321</v>
      </c>
      <c r="W11" s="311" t="s">
        <v>173</v>
      </c>
      <c r="X11" s="311" t="s">
        <v>8</v>
      </c>
      <c r="Y11" s="311" t="s">
        <v>322</v>
      </c>
      <c r="Z11" s="312" t="s">
        <v>323</v>
      </c>
      <c r="AA11" s="313" t="s">
        <v>178</v>
      </c>
      <c r="AB11" s="312" t="s">
        <v>323</v>
      </c>
      <c r="AC11" s="313" t="s">
        <v>178</v>
      </c>
      <c r="AD11" s="314" t="s">
        <v>174</v>
      </c>
      <c r="AE11" s="315" t="s">
        <v>175</v>
      </c>
      <c r="AF11" s="316" t="s">
        <v>176</v>
      </c>
      <c r="AG11" s="314" t="s">
        <v>174</v>
      </c>
      <c r="AH11" s="315" t="s">
        <v>175</v>
      </c>
      <c r="AI11" s="316" t="s">
        <v>176</v>
      </c>
      <c r="AJ11" s="315" t="s">
        <v>177</v>
      </c>
      <c r="AK11" s="315" t="s">
        <v>178</v>
      </c>
      <c r="AL11" s="317" t="s">
        <v>179</v>
      </c>
      <c r="AN11" s="318" t="s">
        <v>8</v>
      </c>
      <c r="AO11" s="319" t="s">
        <v>321</v>
      </c>
      <c r="AP11" s="319" t="s">
        <v>173</v>
      </c>
      <c r="AQ11" s="319" t="s">
        <v>8</v>
      </c>
      <c r="AR11" s="319" t="s">
        <v>322</v>
      </c>
      <c r="AS11" s="320" t="s">
        <v>323</v>
      </c>
      <c r="AT11" s="321" t="s">
        <v>178</v>
      </c>
      <c r="AU11" s="320" t="s">
        <v>323</v>
      </c>
      <c r="AV11" s="321" t="s">
        <v>178</v>
      </c>
      <c r="AW11" s="322" t="s">
        <v>174</v>
      </c>
      <c r="AX11" s="323" t="s">
        <v>175</v>
      </c>
      <c r="AY11" s="324" t="s">
        <v>176</v>
      </c>
      <c r="AZ11" s="322" t="s">
        <v>174</v>
      </c>
      <c r="BA11" s="323" t="s">
        <v>175</v>
      </c>
      <c r="BB11" s="324" t="s">
        <v>176</v>
      </c>
      <c r="BC11" s="323" t="s">
        <v>177</v>
      </c>
      <c r="BD11" s="323" t="s">
        <v>178</v>
      </c>
      <c r="BE11" s="325" t="s">
        <v>179</v>
      </c>
    </row>
    <row r="12" spans="2:57" ht="14.4">
      <c r="B12" s="326" t="s">
        <v>162</v>
      </c>
      <c r="C12" s="327" t="s">
        <v>237</v>
      </c>
      <c r="D12" s="328" t="s">
        <v>181</v>
      </c>
      <c r="E12" s="328" t="s">
        <v>180</v>
      </c>
      <c r="F12" s="327" t="s">
        <v>321</v>
      </c>
      <c r="G12" s="329">
        <v>2300</v>
      </c>
      <c r="H12" s="330">
        <v>0.40900000000000003</v>
      </c>
      <c r="I12" s="329">
        <v>2300</v>
      </c>
      <c r="J12" s="330">
        <v>0.40900000000000003</v>
      </c>
      <c r="K12" s="331">
        <v>2.3831100463867201</v>
      </c>
      <c r="L12" s="331">
        <v>0.47879500198177999</v>
      </c>
      <c r="M12" s="332">
        <v>-2.2790199145674697</v>
      </c>
      <c r="N12" s="331">
        <v>2.3831100463867201</v>
      </c>
      <c r="O12" s="331">
        <v>0.47879500198177999</v>
      </c>
      <c r="P12" s="332">
        <v>-2.2790199145674697</v>
      </c>
      <c r="Q12" s="333">
        <v>1.0361</v>
      </c>
      <c r="R12" s="333">
        <v>1.1706000000000001</v>
      </c>
      <c r="S12" s="334">
        <v>-9.9088000000000006E-3</v>
      </c>
      <c r="U12" s="335" t="s">
        <v>162</v>
      </c>
      <c r="V12" s="336" t="s">
        <v>16</v>
      </c>
      <c r="W12" s="337" t="s">
        <v>181</v>
      </c>
      <c r="X12" s="337" t="s">
        <v>180</v>
      </c>
      <c r="Y12" s="336" t="s">
        <v>321</v>
      </c>
      <c r="Z12" s="338">
        <v>2300</v>
      </c>
      <c r="AA12" s="339">
        <v>0.40900000000000003</v>
      </c>
      <c r="AB12" s="338">
        <v>2300</v>
      </c>
      <c r="AC12" s="339">
        <v>0.40900000000000003</v>
      </c>
      <c r="AD12" s="340">
        <v>2.5600099563598602</v>
      </c>
      <c r="AE12" s="340">
        <v>0.49760501133278001</v>
      </c>
      <c r="AF12" s="341">
        <v>-1.1485300026834</v>
      </c>
      <c r="AG12" s="340">
        <v>2.5600099563598602</v>
      </c>
      <c r="AH12" s="340">
        <v>0.49760501133278001</v>
      </c>
      <c r="AI12" s="341">
        <v>-1.1485300026834</v>
      </c>
      <c r="AJ12" s="342">
        <v>1.113</v>
      </c>
      <c r="AK12" s="342">
        <v>1.2165999999999999</v>
      </c>
      <c r="AL12" s="343">
        <v>-4.9935999999999999E-3</v>
      </c>
      <c r="AN12" s="344" t="s">
        <v>162</v>
      </c>
      <c r="AO12" s="345" t="s">
        <v>324</v>
      </c>
      <c r="AP12" s="346" t="s">
        <v>181</v>
      </c>
      <c r="AQ12" s="346" t="s">
        <v>180</v>
      </c>
      <c r="AR12" s="345" t="s">
        <v>321</v>
      </c>
      <c r="AS12" s="347">
        <v>2300</v>
      </c>
      <c r="AT12" s="348">
        <v>0.40900000000000003</v>
      </c>
      <c r="AU12" s="347">
        <v>2300</v>
      </c>
      <c r="AV12" s="348">
        <v>0.40900000000000003</v>
      </c>
      <c r="AW12" s="349">
        <v>2.5272600650787398</v>
      </c>
      <c r="AX12" s="349">
        <v>0.50324801122769702</v>
      </c>
      <c r="AY12" s="350">
        <v>-1.1799500323832</v>
      </c>
      <c r="AZ12" s="349">
        <v>2.5272600650787398</v>
      </c>
      <c r="BA12" s="349">
        <v>0.50324801122769702</v>
      </c>
      <c r="BB12" s="350">
        <v>-1.1799500323832</v>
      </c>
      <c r="BC12" s="351">
        <v>1.0988</v>
      </c>
      <c r="BD12" s="351">
        <v>1.2303999999999999</v>
      </c>
      <c r="BE12" s="352">
        <v>-5.1301999999999997E-3</v>
      </c>
    </row>
    <row r="13" spans="2:57" ht="14.4">
      <c r="B13" s="353" t="s">
        <v>162</v>
      </c>
      <c r="C13" s="327" t="s">
        <v>237</v>
      </c>
      <c r="D13" s="354" t="s">
        <v>181</v>
      </c>
      <c r="E13" s="354" t="s">
        <v>182</v>
      </c>
      <c r="F13" s="327" t="s">
        <v>321</v>
      </c>
      <c r="G13" s="355">
        <v>2240</v>
      </c>
      <c r="H13" s="356">
        <v>0.12734000000000001</v>
      </c>
      <c r="I13" s="355">
        <v>2240</v>
      </c>
      <c r="J13" s="356">
        <v>0.12734000000000001</v>
      </c>
      <c r="K13" s="331">
        <v>2.3795900344848602</v>
      </c>
      <c r="L13" s="331">
        <v>0.151779997395352</v>
      </c>
      <c r="M13" s="357">
        <v>-2.2377699613571203</v>
      </c>
      <c r="N13" s="331">
        <v>2.3795900344848602</v>
      </c>
      <c r="O13" s="331">
        <v>0.151779997395352</v>
      </c>
      <c r="P13" s="357">
        <v>-2.2377699613571203</v>
      </c>
      <c r="Q13" s="358">
        <v>1.0623</v>
      </c>
      <c r="R13" s="358">
        <v>1.1919999999999999</v>
      </c>
      <c r="S13" s="359">
        <v>-9.9900000000000006E-3</v>
      </c>
      <c r="U13" s="360" t="s">
        <v>162</v>
      </c>
      <c r="V13" s="336" t="s">
        <v>16</v>
      </c>
      <c r="W13" s="361" t="s">
        <v>181</v>
      </c>
      <c r="X13" s="361" t="s">
        <v>182</v>
      </c>
      <c r="Y13" s="336" t="s">
        <v>321</v>
      </c>
      <c r="Z13" s="362">
        <v>2240</v>
      </c>
      <c r="AA13" s="363">
        <v>0.58982000000000001</v>
      </c>
      <c r="AB13" s="362">
        <v>2240</v>
      </c>
      <c r="AC13" s="363">
        <v>0.58982000000000001</v>
      </c>
      <c r="AD13" s="340">
        <v>2.5585300922393799</v>
      </c>
      <c r="AE13" s="340">
        <v>0.76281500514596701</v>
      </c>
      <c r="AF13" s="364">
        <v>-1.1225700378418</v>
      </c>
      <c r="AG13" s="340">
        <v>2.5585300922393799</v>
      </c>
      <c r="AH13" s="340">
        <v>0.76281500514596701</v>
      </c>
      <c r="AI13" s="364">
        <v>-1.1225700378418</v>
      </c>
      <c r="AJ13" s="365">
        <v>1.1422000000000001</v>
      </c>
      <c r="AK13" s="365">
        <v>1.2932999999999999</v>
      </c>
      <c r="AL13" s="366">
        <v>-5.0115000000000003E-3</v>
      </c>
      <c r="AN13" s="367" t="s">
        <v>162</v>
      </c>
      <c r="AO13" s="345" t="s">
        <v>324</v>
      </c>
      <c r="AP13" s="368" t="s">
        <v>181</v>
      </c>
      <c r="AQ13" s="368" t="s">
        <v>182</v>
      </c>
      <c r="AR13" s="345" t="s">
        <v>321</v>
      </c>
      <c r="AS13" s="369">
        <v>2240</v>
      </c>
      <c r="AT13" s="370">
        <v>0.63</v>
      </c>
      <c r="AU13" s="369">
        <v>2240</v>
      </c>
      <c r="AV13" s="370">
        <v>0.63</v>
      </c>
      <c r="AW13" s="349">
        <v>2.5344700813293501</v>
      </c>
      <c r="AX13" s="349">
        <v>0.80831797095015601</v>
      </c>
      <c r="AY13" s="371">
        <v>-1.0122000239789499</v>
      </c>
      <c r="AZ13" s="349">
        <v>2.5344700813293501</v>
      </c>
      <c r="BA13" s="349">
        <v>0.80831797095015601</v>
      </c>
      <c r="BB13" s="371">
        <v>-1.0122000239789499</v>
      </c>
      <c r="BC13" s="372">
        <v>1.1315</v>
      </c>
      <c r="BD13" s="372">
        <v>1.2829999999999999</v>
      </c>
      <c r="BE13" s="373">
        <v>-4.5187999999999999E-3</v>
      </c>
    </row>
    <row r="14" spans="2:57" ht="14.4">
      <c r="B14" s="353" t="s">
        <v>162</v>
      </c>
      <c r="C14" s="327" t="s">
        <v>237</v>
      </c>
      <c r="D14" s="354" t="s">
        <v>181</v>
      </c>
      <c r="E14" s="354" t="s">
        <v>183</v>
      </c>
      <c r="F14" s="327" t="s">
        <v>321</v>
      </c>
      <c r="G14" s="355">
        <v>2330</v>
      </c>
      <c r="H14" s="356">
        <v>0.14229</v>
      </c>
      <c r="I14" s="355">
        <v>2330</v>
      </c>
      <c r="J14" s="356">
        <v>0.14229</v>
      </c>
      <c r="K14" s="331">
        <v>2.4528501033782999</v>
      </c>
      <c r="L14" s="331">
        <v>0.16843600315041798</v>
      </c>
      <c r="M14" s="357">
        <v>-2.7763100340962401</v>
      </c>
      <c r="N14" s="331">
        <v>2.4528501033782999</v>
      </c>
      <c r="O14" s="331">
        <v>0.16843600315041798</v>
      </c>
      <c r="P14" s="357">
        <v>-2.7763100340962401</v>
      </c>
      <c r="Q14" s="358">
        <v>1.0527</v>
      </c>
      <c r="R14" s="358">
        <v>1.1837</v>
      </c>
      <c r="S14" s="359">
        <v>-1.1915E-2</v>
      </c>
      <c r="U14" s="360" t="s">
        <v>162</v>
      </c>
      <c r="V14" s="336" t="s">
        <v>16</v>
      </c>
      <c r="W14" s="361" t="s">
        <v>181</v>
      </c>
      <c r="X14" s="361" t="s">
        <v>183</v>
      </c>
      <c r="Y14" s="336" t="s">
        <v>321</v>
      </c>
      <c r="Z14" s="362">
        <v>2330</v>
      </c>
      <c r="AA14" s="363">
        <v>0.66922000000000004</v>
      </c>
      <c r="AB14" s="362">
        <v>2330</v>
      </c>
      <c r="AC14" s="363">
        <v>0.66922000000000004</v>
      </c>
      <c r="AD14" s="340">
        <v>2.6336901187896702</v>
      </c>
      <c r="AE14" s="340">
        <v>0.85379101801663604</v>
      </c>
      <c r="AF14" s="364">
        <v>-1.4832199551165099</v>
      </c>
      <c r="AG14" s="340">
        <v>2.6336901187896702</v>
      </c>
      <c r="AH14" s="340">
        <v>0.85379101801663604</v>
      </c>
      <c r="AI14" s="364">
        <v>-1.4832199551165099</v>
      </c>
      <c r="AJ14" s="365">
        <v>1.1303000000000001</v>
      </c>
      <c r="AK14" s="365">
        <v>1.2758</v>
      </c>
      <c r="AL14" s="366">
        <v>-6.3657999999999996E-3</v>
      </c>
      <c r="AN14" s="367" t="s">
        <v>162</v>
      </c>
      <c r="AO14" s="345" t="s">
        <v>324</v>
      </c>
      <c r="AP14" s="368" t="s">
        <v>181</v>
      </c>
      <c r="AQ14" s="368" t="s">
        <v>183</v>
      </c>
      <c r="AR14" s="345" t="s">
        <v>321</v>
      </c>
      <c r="AS14" s="369">
        <v>2330</v>
      </c>
      <c r="AT14" s="370">
        <v>0.71500000000000008</v>
      </c>
      <c r="AU14" s="369">
        <v>2330</v>
      </c>
      <c r="AV14" s="370">
        <v>0.71500000000000008</v>
      </c>
      <c r="AW14" s="349">
        <v>2.5992701053619398</v>
      </c>
      <c r="AX14" s="349">
        <v>0.89424400357529499</v>
      </c>
      <c r="AY14" s="371">
        <v>-1.2750700116157501</v>
      </c>
      <c r="AZ14" s="349">
        <v>2.5992701053619398</v>
      </c>
      <c r="BA14" s="349">
        <v>0.89424400357529499</v>
      </c>
      <c r="BB14" s="371">
        <v>-1.2750700116157501</v>
      </c>
      <c r="BC14" s="372">
        <v>1.1155999999999999</v>
      </c>
      <c r="BD14" s="372">
        <v>1.2506999999999999</v>
      </c>
      <c r="BE14" s="373">
        <v>-5.4723999999999997E-3</v>
      </c>
    </row>
    <row r="15" spans="2:57" ht="14.4">
      <c r="B15" s="353" t="s">
        <v>162</v>
      </c>
      <c r="C15" s="327" t="s">
        <v>237</v>
      </c>
      <c r="D15" s="354" t="s">
        <v>181</v>
      </c>
      <c r="E15" s="354" t="s">
        <v>184</v>
      </c>
      <c r="F15" s="327" t="s">
        <v>321</v>
      </c>
      <c r="G15" s="355">
        <v>2420</v>
      </c>
      <c r="H15" s="356">
        <v>0.46327999999999997</v>
      </c>
      <c r="I15" s="355">
        <v>2420</v>
      </c>
      <c r="J15" s="356">
        <v>0.46327999999999997</v>
      </c>
      <c r="K15" s="331">
        <v>2.6470100879669198</v>
      </c>
      <c r="L15" s="331">
        <v>0.58623898075893499</v>
      </c>
      <c r="M15" s="357">
        <v>-2.83994991332293</v>
      </c>
      <c r="N15" s="331">
        <v>2.6470100879669198</v>
      </c>
      <c r="O15" s="331">
        <v>0.58623898075893499</v>
      </c>
      <c r="P15" s="357">
        <v>-2.83994991332293</v>
      </c>
      <c r="Q15" s="358">
        <v>1.0938000000000001</v>
      </c>
      <c r="R15" s="358">
        <v>1.2654000000000001</v>
      </c>
      <c r="S15" s="359">
        <v>-1.1735000000000001E-2</v>
      </c>
      <c r="U15" s="360" t="s">
        <v>162</v>
      </c>
      <c r="V15" s="336" t="s">
        <v>16</v>
      </c>
      <c r="W15" s="361" t="s">
        <v>181</v>
      </c>
      <c r="X15" s="361" t="s">
        <v>184</v>
      </c>
      <c r="Y15" s="336" t="s">
        <v>321</v>
      </c>
      <c r="Z15" s="362">
        <v>2420</v>
      </c>
      <c r="AA15" s="363">
        <v>0.62529999999999997</v>
      </c>
      <c r="AB15" s="362">
        <v>2420</v>
      </c>
      <c r="AC15" s="363">
        <v>0.62529999999999997</v>
      </c>
      <c r="AD15" s="340">
        <v>2.76887011528015</v>
      </c>
      <c r="AE15" s="340">
        <v>0.80100097693502903</v>
      </c>
      <c r="AF15" s="364">
        <v>-1.5315899625420599</v>
      </c>
      <c r="AG15" s="340">
        <v>2.76887011528015</v>
      </c>
      <c r="AH15" s="340">
        <v>0.80100097693502903</v>
      </c>
      <c r="AI15" s="364">
        <v>-1.5315899625420599</v>
      </c>
      <c r="AJ15" s="365">
        <v>1.1442000000000001</v>
      </c>
      <c r="AK15" s="365">
        <v>1.2809999999999999</v>
      </c>
      <c r="AL15" s="366">
        <v>-6.3289000000000002E-3</v>
      </c>
      <c r="AN15" s="367" t="s">
        <v>162</v>
      </c>
      <c r="AO15" s="345" t="s">
        <v>324</v>
      </c>
      <c r="AP15" s="368" t="s">
        <v>181</v>
      </c>
      <c r="AQ15" s="368" t="s">
        <v>184</v>
      </c>
      <c r="AR15" s="345" t="s">
        <v>321</v>
      </c>
      <c r="AS15" s="369">
        <v>2420</v>
      </c>
      <c r="AT15" s="370">
        <v>0.64700000000000002</v>
      </c>
      <c r="AU15" s="369">
        <v>2420</v>
      </c>
      <c r="AV15" s="370">
        <v>0.64700000000000002</v>
      </c>
      <c r="AW15" s="349">
        <v>2.7396199703216602</v>
      </c>
      <c r="AX15" s="349">
        <v>0.827293028123677</v>
      </c>
      <c r="AY15" s="371">
        <v>-1.2478100135922401</v>
      </c>
      <c r="AZ15" s="349">
        <v>2.7396199703216602</v>
      </c>
      <c r="BA15" s="349">
        <v>0.827293028123677</v>
      </c>
      <c r="BB15" s="371">
        <v>-1.2478100135922401</v>
      </c>
      <c r="BC15" s="372">
        <v>1.1321000000000001</v>
      </c>
      <c r="BD15" s="372">
        <v>1.2786999999999999</v>
      </c>
      <c r="BE15" s="373">
        <v>-5.1561999999999997E-3</v>
      </c>
    </row>
    <row r="16" spans="2:57" ht="14.4">
      <c r="B16" s="353" t="s">
        <v>162</v>
      </c>
      <c r="C16" s="327" t="s">
        <v>237</v>
      </c>
      <c r="D16" s="354" t="s">
        <v>181</v>
      </c>
      <c r="E16" s="354" t="s">
        <v>185</v>
      </c>
      <c r="F16" s="327" t="s">
        <v>321</v>
      </c>
      <c r="G16" s="355">
        <v>2370</v>
      </c>
      <c r="H16" s="356">
        <v>0.48286000000000001</v>
      </c>
      <c r="I16" s="355">
        <v>2370</v>
      </c>
      <c r="J16" s="356">
        <v>0.48286000000000001</v>
      </c>
      <c r="K16" s="331">
        <v>2.6191599369049099</v>
      </c>
      <c r="L16" s="331">
        <v>0.59791997773572803</v>
      </c>
      <c r="M16" s="357">
        <v>-1.6845799982547802</v>
      </c>
      <c r="N16" s="331">
        <v>2.6191599369049099</v>
      </c>
      <c r="O16" s="331">
        <v>0.59791997773572803</v>
      </c>
      <c r="P16" s="357">
        <v>-1.6845799982547802</v>
      </c>
      <c r="Q16" s="358">
        <v>1.1051</v>
      </c>
      <c r="R16" s="358">
        <v>1.2383</v>
      </c>
      <c r="S16" s="359">
        <v>-7.1079000000000003E-3</v>
      </c>
      <c r="U16" s="360" t="s">
        <v>162</v>
      </c>
      <c r="V16" s="336" t="s">
        <v>16</v>
      </c>
      <c r="W16" s="361" t="s">
        <v>181</v>
      </c>
      <c r="X16" s="361" t="s">
        <v>185</v>
      </c>
      <c r="Y16" s="336" t="s">
        <v>321</v>
      </c>
      <c r="Z16" s="362">
        <v>2370</v>
      </c>
      <c r="AA16" s="363">
        <v>0.64700999999999997</v>
      </c>
      <c r="AB16" s="362">
        <v>2370</v>
      </c>
      <c r="AC16" s="363">
        <v>0.64700999999999997</v>
      </c>
      <c r="AD16" s="340">
        <v>2.72230005264282</v>
      </c>
      <c r="AE16" s="340">
        <v>0.82164199557155404</v>
      </c>
      <c r="AF16" s="364">
        <v>-1.10162002965808</v>
      </c>
      <c r="AG16" s="340">
        <v>2.72230005264282</v>
      </c>
      <c r="AH16" s="340">
        <v>0.82164199557155404</v>
      </c>
      <c r="AI16" s="364">
        <v>-1.10162002965808</v>
      </c>
      <c r="AJ16" s="365">
        <v>1.1486000000000001</v>
      </c>
      <c r="AK16" s="365">
        <v>1.2699</v>
      </c>
      <c r="AL16" s="366">
        <v>-4.6481999999999999E-3</v>
      </c>
      <c r="AN16" s="367" t="s">
        <v>162</v>
      </c>
      <c r="AO16" s="345" t="s">
        <v>324</v>
      </c>
      <c r="AP16" s="368" t="s">
        <v>181</v>
      </c>
      <c r="AQ16" s="368" t="s">
        <v>185</v>
      </c>
      <c r="AR16" s="345" t="s">
        <v>321</v>
      </c>
      <c r="AS16" s="369">
        <v>2370</v>
      </c>
      <c r="AT16" s="370">
        <v>0.66900000000000004</v>
      </c>
      <c r="AU16" s="369">
        <v>2370</v>
      </c>
      <c r="AV16" s="370">
        <v>0.66900000000000004</v>
      </c>
      <c r="AW16" s="349">
        <v>2.6948800086975102</v>
      </c>
      <c r="AX16" s="349">
        <v>0.84383797366172097</v>
      </c>
      <c r="AY16" s="371">
        <v>-0.95729203894734405</v>
      </c>
      <c r="AZ16" s="349">
        <v>2.6948800086975102</v>
      </c>
      <c r="BA16" s="349">
        <v>0.84383797366172097</v>
      </c>
      <c r="BB16" s="371">
        <v>-0.95729203894734405</v>
      </c>
      <c r="BC16" s="372">
        <v>1.1371</v>
      </c>
      <c r="BD16" s="372">
        <v>1.2613000000000001</v>
      </c>
      <c r="BE16" s="373">
        <v>-4.0391999999999997E-3</v>
      </c>
    </row>
    <row r="17" spans="2:57" ht="14.4">
      <c r="B17" s="353" t="s">
        <v>162</v>
      </c>
      <c r="C17" s="327" t="s">
        <v>237</v>
      </c>
      <c r="D17" s="354" t="s">
        <v>181</v>
      </c>
      <c r="E17" s="354" t="s">
        <v>186</v>
      </c>
      <c r="F17" s="327" t="s">
        <v>321</v>
      </c>
      <c r="G17" s="355">
        <v>2600</v>
      </c>
      <c r="H17" s="356">
        <v>0.14541000000000001</v>
      </c>
      <c r="I17" s="355">
        <v>2600</v>
      </c>
      <c r="J17" s="356">
        <v>0.14541000000000001</v>
      </c>
      <c r="K17" s="331">
        <v>2.6693699359893799</v>
      </c>
      <c r="L17" s="331">
        <v>0.170914994669147</v>
      </c>
      <c r="M17" s="357">
        <v>-2.76219993829727</v>
      </c>
      <c r="N17" s="331">
        <v>2.6693699359893799</v>
      </c>
      <c r="O17" s="331">
        <v>0.170914994669147</v>
      </c>
      <c r="P17" s="357">
        <v>-2.76219993829727</v>
      </c>
      <c r="Q17" s="358">
        <v>1.0266999999999999</v>
      </c>
      <c r="R17" s="358">
        <v>1.1754</v>
      </c>
      <c r="S17" s="359">
        <v>-1.0624E-2</v>
      </c>
      <c r="U17" s="360" t="s">
        <v>162</v>
      </c>
      <c r="V17" s="336" t="s">
        <v>16</v>
      </c>
      <c r="W17" s="361" t="s">
        <v>181</v>
      </c>
      <c r="X17" s="361" t="s">
        <v>186</v>
      </c>
      <c r="Y17" s="336" t="s">
        <v>321</v>
      </c>
      <c r="Z17" s="362">
        <v>2600</v>
      </c>
      <c r="AA17" s="363">
        <v>0.68142999999999998</v>
      </c>
      <c r="AB17" s="362">
        <v>2600</v>
      </c>
      <c r="AC17" s="363">
        <v>0.68142999999999998</v>
      </c>
      <c r="AD17" s="340">
        <v>2.8657300472259499</v>
      </c>
      <c r="AE17" s="340">
        <v>0.86028501391410794</v>
      </c>
      <c r="AF17" s="364">
        <v>-1.6370100900530802</v>
      </c>
      <c r="AG17" s="340">
        <v>2.8657300472259499</v>
      </c>
      <c r="AH17" s="340">
        <v>0.86028501391410794</v>
      </c>
      <c r="AI17" s="364">
        <v>-1.6370100900530802</v>
      </c>
      <c r="AJ17" s="365">
        <v>1.1022000000000001</v>
      </c>
      <c r="AK17" s="365">
        <v>1.2625</v>
      </c>
      <c r="AL17" s="366">
        <v>-6.2962000000000001E-3</v>
      </c>
      <c r="AN17" s="367" t="s">
        <v>162</v>
      </c>
      <c r="AO17" s="345" t="s">
        <v>324</v>
      </c>
      <c r="AP17" s="368" t="s">
        <v>181</v>
      </c>
      <c r="AQ17" s="368" t="s">
        <v>186</v>
      </c>
      <c r="AR17" s="345" t="s">
        <v>321</v>
      </c>
      <c r="AS17" s="369">
        <v>2600</v>
      </c>
      <c r="AT17" s="370">
        <v>0.72799999999999998</v>
      </c>
      <c r="AU17" s="369">
        <v>2600</v>
      </c>
      <c r="AV17" s="370">
        <v>0.72799999999999998</v>
      </c>
      <c r="AW17" s="349">
        <v>2.8794500827789302</v>
      </c>
      <c r="AX17" s="349">
        <v>0.90730597730726004</v>
      </c>
      <c r="AY17" s="371">
        <v>-1.426209975034</v>
      </c>
      <c r="AZ17" s="349">
        <v>2.8794500827789302</v>
      </c>
      <c r="BA17" s="349">
        <v>0.90730597730726004</v>
      </c>
      <c r="BB17" s="371">
        <v>-1.426209975034</v>
      </c>
      <c r="BC17" s="372">
        <v>1.1074999999999999</v>
      </c>
      <c r="BD17" s="372">
        <v>1.2463</v>
      </c>
      <c r="BE17" s="373">
        <v>-5.4853999999999997E-3</v>
      </c>
    </row>
    <row r="18" spans="2:57" ht="14.4">
      <c r="B18" s="353" t="s">
        <v>162</v>
      </c>
      <c r="C18" s="327" t="s">
        <v>237</v>
      </c>
      <c r="D18" s="354" t="s">
        <v>181</v>
      </c>
      <c r="E18" s="354" t="s">
        <v>187</v>
      </c>
      <c r="F18" s="327" t="s">
        <v>321</v>
      </c>
      <c r="G18" s="355">
        <v>3890</v>
      </c>
      <c r="H18" s="356">
        <v>0.495</v>
      </c>
      <c r="I18" s="355">
        <v>3890</v>
      </c>
      <c r="J18" s="356">
        <v>0.495</v>
      </c>
      <c r="K18" s="331">
        <v>3.5875198841095002</v>
      </c>
      <c r="L18" s="331">
        <v>0.64057600684464</v>
      </c>
      <c r="M18" s="357">
        <v>-5.1474198698997498</v>
      </c>
      <c r="N18" s="331">
        <v>3.5875198841095002</v>
      </c>
      <c r="O18" s="331">
        <v>0.64057600684464</v>
      </c>
      <c r="P18" s="357">
        <v>-5.1474198698997498</v>
      </c>
      <c r="Q18" s="358">
        <v>0.92223999999999995</v>
      </c>
      <c r="R18" s="358">
        <v>1.2941</v>
      </c>
      <c r="S18" s="359">
        <v>-1.3232000000000001E-2</v>
      </c>
      <c r="U18" s="360" t="s">
        <v>162</v>
      </c>
      <c r="V18" s="336" t="s">
        <v>16</v>
      </c>
      <c r="W18" s="361" t="s">
        <v>181</v>
      </c>
      <c r="X18" s="361" t="s">
        <v>187</v>
      </c>
      <c r="Y18" s="336" t="s">
        <v>321</v>
      </c>
      <c r="Z18" s="362">
        <v>3890</v>
      </c>
      <c r="AA18" s="363">
        <v>0.495</v>
      </c>
      <c r="AB18" s="362">
        <v>3890</v>
      </c>
      <c r="AC18" s="363">
        <v>0.495</v>
      </c>
      <c r="AD18" s="340">
        <v>4.0354599952697798</v>
      </c>
      <c r="AE18" s="340">
        <v>0.64493500394746706</v>
      </c>
      <c r="AF18" s="364">
        <v>-4.9262799322605098</v>
      </c>
      <c r="AG18" s="340">
        <v>4.0354599952697798</v>
      </c>
      <c r="AH18" s="340">
        <v>0.64493500394746706</v>
      </c>
      <c r="AI18" s="364">
        <v>-4.9262799322605098</v>
      </c>
      <c r="AJ18" s="365">
        <v>1.0374000000000001</v>
      </c>
      <c r="AK18" s="365">
        <v>1.3028999999999999</v>
      </c>
      <c r="AL18" s="366">
        <v>-1.2664E-2</v>
      </c>
      <c r="AN18" s="367" t="s">
        <v>162</v>
      </c>
      <c r="AO18" s="345" t="s">
        <v>324</v>
      </c>
      <c r="AP18" s="368" t="s">
        <v>181</v>
      </c>
      <c r="AQ18" s="368" t="s">
        <v>187</v>
      </c>
      <c r="AR18" s="345" t="s">
        <v>321</v>
      </c>
      <c r="AS18" s="369">
        <v>3890</v>
      </c>
      <c r="AT18" s="370">
        <v>0.495</v>
      </c>
      <c r="AU18" s="369">
        <v>3890</v>
      </c>
      <c r="AV18" s="370">
        <v>0.495</v>
      </c>
      <c r="AW18" s="349">
        <v>3.8946299552917498</v>
      </c>
      <c r="AX18" s="349">
        <v>0.61862799338996399</v>
      </c>
      <c r="AY18" s="371">
        <v>-5.3621601313352603</v>
      </c>
      <c r="AZ18" s="349">
        <v>3.8946299552917498</v>
      </c>
      <c r="BA18" s="349">
        <v>0.61862799338996399</v>
      </c>
      <c r="BB18" s="371">
        <v>-5.3621601313352603</v>
      </c>
      <c r="BC18" s="372">
        <v>1.0012000000000001</v>
      </c>
      <c r="BD18" s="372">
        <v>1.2498</v>
      </c>
      <c r="BE18" s="373">
        <v>-1.3783999999999999E-2</v>
      </c>
    </row>
    <row r="19" spans="2:57" ht="14.4">
      <c r="B19" s="353" t="s">
        <v>162</v>
      </c>
      <c r="C19" s="327" t="s">
        <v>237</v>
      </c>
      <c r="D19" s="354" t="s">
        <v>181</v>
      </c>
      <c r="E19" s="354" t="s">
        <v>188</v>
      </c>
      <c r="F19" s="327" t="s">
        <v>321</v>
      </c>
      <c r="G19" s="355">
        <v>4200</v>
      </c>
      <c r="H19" s="356">
        <v>0.71699999999999997</v>
      </c>
      <c r="I19" s="355">
        <v>4200</v>
      </c>
      <c r="J19" s="356">
        <v>0.71699999999999997</v>
      </c>
      <c r="K19" s="331">
        <v>4.6531100273132298</v>
      </c>
      <c r="L19" s="331">
        <v>0.87415002053603497</v>
      </c>
      <c r="M19" s="357">
        <v>-2.6964999735355399</v>
      </c>
      <c r="N19" s="331">
        <v>4.6531100273132298</v>
      </c>
      <c r="O19" s="331">
        <v>0.87415002053603497</v>
      </c>
      <c r="P19" s="357">
        <v>-2.6964999735355399</v>
      </c>
      <c r="Q19" s="358">
        <v>1.1079000000000001</v>
      </c>
      <c r="R19" s="358">
        <v>1.2192000000000001</v>
      </c>
      <c r="S19" s="359">
        <v>-6.4202E-3</v>
      </c>
      <c r="U19" s="360" t="s">
        <v>162</v>
      </c>
      <c r="V19" s="336" t="s">
        <v>16</v>
      </c>
      <c r="W19" s="361" t="s">
        <v>181</v>
      </c>
      <c r="X19" s="361" t="s">
        <v>188</v>
      </c>
      <c r="Y19" s="336" t="s">
        <v>321</v>
      </c>
      <c r="Z19" s="362">
        <v>4200</v>
      </c>
      <c r="AA19" s="363">
        <v>0.71699999999999997</v>
      </c>
      <c r="AB19" s="362">
        <v>4200</v>
      </c>
      <c r="AC19" s="363">
        <v>0.71699999999999997</v>
      </c>
      <c r="AD19" s="340">
        <v>4.8497800827026403</v>
      </c>
      <c r="AE19" s="340">
        <v>0.901114020962268</v>
      </c>
      <c r="AF19" s="364">
        <v>-2.2939400747418399</v>
      </c>
      <c r="AG19" s="340">
        <v>4.8497800827026403</v>
      </c>
      <c r="AH19" s="340">
        <v>0.901114020962268</v>
      </c>
      <c r="AI19" s="364">
        <v>-2.2939400747418399</v>
      </c>
      <c r="AJ19" s="365">
        <v>1.1547000000000001</v>
      </c>
      <c r="AK19" s="365">
        <v>1.2567999999999999</v>
      </c>
      <c r="AL19" s="366">
        <v>-5.4618000000000002E-3</v>
      </c>
      <c r="AN19" s="367" t="s">
        <v>162</v>
      </c>
      <c r="AO19" s="345" t="s">
        <v>324</v>
      </c>
      <c r="AP19" s="368" t="s">
        <v>181</v>
      </c>
      <c r="AQ19" s="368" t="s">
        <v>188</v>
      </c>
      <c r="AR19" s="345" t="s">
        <v>321</v>
      </c>
      <c r="AS19" s="369">
        <v>4200</v>
      </c>
      <c r="AT19" s="370">
        <v>0.71699999999999997</v>
      </c>
      <c r="AU19" s="369">
        <v>4200</v>
      </c>
      <c r="AV19" s="370">
        <v>0.71699999999999997</v>
      </c>
      <c r="AW19" s="349">
        <v>4.8041200637817401</v>
      </c>
      <c r="AX19" s="349">
        <v>0.88340701768174801</v>
      </c>
      <c r="AY19" s="371">
        <v>-2.12393999099731</v>
      </c>
      <c r="AZ19" s="349">
        <v>4.8041200637817401</v>
      </c>
      <c r="BA19" s="349">
        <v>0.88340701768174801</v>
      </c>
      <c r="BB19" s="371">
        <v>-2.12393999099731</v>
      </c>
      <c r="BC19" s="372">
        <v>1.1437999999999999</v>
      </c>
      <c r="BD19" s="372">
        <v>1.2321</v>
      </c>
      <c r="BE19" s="373">
        <v>-5.0569999999999999E-3</v>
      </c>
    </row>
    <row r="20" spans="2:57" ht="14.4">
      <c r="B20" s="353" t="s">
        <v>162</v>
      </c>
      <c r="C20" s="327" t="s">
        <v>237</v>
      </c>
      <c r="D20" s="354" t="s">
        <v>181</v>
      </c>
      <c r="E20" s="354" t="s">
        <v>189</v>
      </c>
      <c r="F20" s="327" t="s">
        <v>321</v>
      </c>
      <c r="G20" s="355">
        <v>3570</v>
      </c>
      <c r="H20" s="356">
        <v>0.56499999999999995</v>
      </c>
      <c r="I20" s="355">
        <v>3570</v>
      </c>
      <c r="J20" s="356">
        <v>0.56499999999999995</v>
      </c>
      <c r="K20" s="331">
        <v>3.7328999042511</v>
      </c>
      <c r="L20" s="331">
        <v>0.702338991686702</v>
      </c>
      <c r="M20" s="357">
        <v>-4.7858498990535701</v>
      </c>
      <c r="N20" s="331">
        <v>3.7328999042511</v>
      </c>
      <c r="O20" s="331">
        <v>0.702338991686702</v>
      </c>
      <c r="P20" s="357">
        <v>-4.7858498990535701</v>
      </c>
      <c r="Q20" s="358">
        <v>1.0456000000000001</v>
      </c>
      <c r="R20" s="358">
        <v>1.2431000000000001</v>
      </c>
      <c r="S20" s="359">
        <v>-1.3406E-2</v>
      </c>
      <c r="U20" s="360" t="s">
        <v>162</v>
      </c>
      <c r="V20" s="336" t="s">
        <v>16</v>
      </c>
      <c r="W20" s="361" t="s">
        <v>181</v>
      </c>
      <c r="X20" s="361" t="s">
        <v>189</v>
      </c>
      <c r="Y20" s="336" t="s">
        <v>321</v>
      </c>
      <c r="Z20" s="362">
        <v>3570</v>
      </c>
      <c r="AA20" s="363">
        <v>0.56499999999999995</v>
      </c>
      <c r="AB20" s="362">
        <v>3570</v>
      </c>
      <c r="AC20" s="363">
        <v>0.56499999999999995</v>
      </c>
      <c r="AD20" s="340">
        <v>3.9041399955749498</v>
      </c>
      <c r="AE20" s="340">
        <v>0.73916901601478502</v>
      </c>
      <c r="AF20" s="364">
        <v>-3.4692998975515401</v>
      </c>
      <c r="AG20" s="340">
        <v>3.9041399955749498</v>
      </c>
      <c r="AH20" s="340">
        <v>0.73916901601478502</v>
      </c>
      <c r="AI20" s="364">
        <v>-3.4692998975515401</v>
      </c>
      <c r="AJ20" s="365">
        <v>1.0935999999999999</v>
      </c>
      <c r="AK20" s="365">
        <v>1.3083</v>
      </c>
      <c r="AL20" s="366">
        <v>-9.7178999999999998E-3</v>
      </c>
      <c r="AN20" s="367" t="s">
        <v>162</v>
      </c>
      <c r="AO20" s="345" t="s">
        <v>324</v>
      </c>
      <c r="AP20" s="368" t="s">
        <v>181</v>
      </c>
      <c r="AQ20" s="368" t="s">
        <v>189</v>
      </c>
      <c r="AR20" s="345" t="s">
        <v>321</v>
      </c>
      <c r="AS20" s="369">
        <v>3570</v>
      </c>
      <c r="AT20" s="370">
        <v>0.56499999999999995</v>
      </c>
      <c r="AU20" s="369">
        <v>3570</v>
      </c>
      <c r="AV20" s="370">
        <v>0.56499999999999995</v>
      </c>
      <c r="AW20" s="349">
        <v>3.8599998950958301</v>
      </c>
      <c r="AX20" s="349">
        <v>0.72252302197739504</v>
      </c>
      <c r="AY20" s="371">
        <v>-3.0891200527548799</v>
      </c>
      <c r="AZ20" s="349">
        <v>3.8599998950958301</v>
      </c>
      <c r="BA20" s="349">
        <v>0.72252302197739504</v>
      </c>
      <c r="BB20" s="371">
        <v>-3.0891200527548799</v>
      </c>
      <c r="BC20" s="372">
        <v>1.0811999999999999</v>
      </c>
      <c r="BD20" s="372">
        <v>1.2787999999999999</v>
      </c>
      <c r="BE20" s="373">
        <v>-8.6529999999999992E-3</v>
      </c>
    </row>
    <row r="21" spans="2:57" ht="14.4">
      <c r="B21" s="353" t="s">
        <v>162</v>
      </c>
      <c r="C21" s="327" t="s">
        <v>237</v>
      </c>
      <c r="D21" s="354" t="s">
        <v>181</v>
      </c>
      <c r="E21" s="354" t="s">
        <v>190</v>
      </c>
      <c r="F21" s="327" t="s">
        <v>321</v>
      </c>
      <c r="G21" s="355">
        <v>1670</v>
      </c>
      <c r="H21" s="356">
        <v>0.19900000000000001</v>
      </c>
      <c r="I21" s="355">
        <v>1670</v>
      </c>
      <c r="J21" s="356">
        <v>0.19900000000000001</v>
      </c>
      <c r="K21" s="331">
        <v>1.6815600395202599</v>
      </c>
      <c r="L21" s="331">
        <v>0.24583301274105901</v>
      </c>
      <c r="M21" s="357">
        <v>-0.59568900614976905</v>
      </c>
      <c r="N21" s="331">
        <v>1.6815600395202599</v>
      </c>
      <c r="O21" s="331">
        <v>0.24583301274105901</v>
      </c>
      <c r="P21" s="357">
        <v>-0.59568900614976905</v>
      </c>
      <c r="Q21" s="358">
        <v>1.0068999999999999</v>
      </c>
      <c r="R21" s="358">
        <v>1.2353000000000001</v>
      </c>
      <c r="S21" s="359">
        <v>-3.5669999999999999E-3</v>
      </c>
      <c r="U21" s="360" t="s">
        <v>162</v>
      </c>
      <c r="V21" s="336" t="s">
        <v>16</v>
      </c>
      <c r="W21" s="361" t="s">
        <v>181</v>
      </c>
      <c r="X21" s="361" t="s">
        <v>190</v>
      </c>
      <c r="Y21" s="336" t="s">
        <v>321</v>
      </c>
      <c r="Z21" s="362">
        <v>1670</v>
      </c>
      <c r="AA21" s="363">
        <v>0.19900000000000001</v>
      </c>
      <c r="AB21" s="362">
        <v>1670</v>
      </c>
      <c r="AC21" s="363">
        <v>0.19900000000000001</v>
      </c>
      <c r="AD21" s="340">
        <v>1.8516999483108501</v>
      </c>
      <c r="AE21" s="340">
        <v>0.25455199647694798</v>
      </c>
      <c r="AF21" s="364">
        <v>-0.31022899784147701</v>
      </c>
      <c r="AG21" s="340">
        <v>1.8516999483108501</v>
      </c>
      <c r="AH21" s="340">
        <v>0.25455199647694798</v>
      </c>
      <c r="AI21" s="364">
        <v>-0.31022899784147701</v>
      </c>
      <c r="AJ21" s="365">
        <v>1.1088</v>
      </c>
      <c r="AK21" s="365">
        <v>1.2791999999999999</v>
      </c>
      <c r="AL21" s="366">
        <v>-1.8577000000000001E-3</v>
      </c>
      <c r="AN21" s="367" t="s">
        <v>162</v>
      </c>
      <c r="AO21" s="345" t="s">
        <v>324</v>
      </c>
      <c r="AP21" s="368" t="s">
        <v>181</v>
      </c>
      <c r="AQ21" s="368" t="s">
        <v>190</v>
      </c>
      <c r="AR21" s="345" t="s">
        <v>321</v>
      </c>
      <c r="AS21" s="369">
        <v>1670</v>
      </c>
      <c r="AT21" s="370">
        <v>0.19900000000000001</v>
      </c>
      <c r="AU21" s="369">
        <v>1670</v>
      </c>
      <c r="AV21" s="370">
        <v>0.19900000000000001</v>
      </c>
      <c r="AW21" s="349">
        <v>1.8457599878311199</v>
      </c>
      <c r="AX21" s="349">
        <v>0.24805098655633601</v>
      </c>
      <c r="AY21" s="371">
        <v>-0.27761899400502399</v>
      </c>
      <c r="AZ21" s="349">
        <v>1.8457599878311199</v>
      </c>
      <c r="BA21" s="349">
        <v>0.24805098655633601</v>
      </c>
      <c r="BB21" s="371">
        <v>-0.27761899400502399</v>
      </c>
      <c r="BC21" s="372">
        <v>1.1052</v>
      </c>
      <c r="BD21" s="372">
        <v>1.2464999999999999</v>
      </c>
      <c r="BE21" s="373">
        <v>-1.6624000000000001E-3</v>
      </c>
    </row>
    <row r="22" spans="2:57" ht="14.4">
      <c r="B22" s="353" t="s">
        <v>162</v>
      </c>
      <c r="C22" s="327" t="s">
        <v>237</v>
      </c>
      <c r="D22" s="354" t="s">
        <v>181</v>
      </c>
      <c r="E22" s="354" t="s">
        <v>191</v>
      </c>
      <c r="F22" s="327" t="s">
        <v>321</v>
      </c>
      <c r="G22" s="355">
        <v>1370</v>
      </c>
      <c r="H22" s="356">
        <v>0.15100000000000002</v>
      </c>
      <c r="I22" s="355">
        <v>1370</v>
      </c>
      <c r="J22" s="356">
        <v>0.15100000000000002</v>
      </c>
      <c r="K22" s="331">
        <v>1.44604003429413</v>
      </c>
      <c r="L22" s="331">
        <v>0.18412800272926699</v>
      </c>
      <c r="M22" s="357">
        <v>-0.72997198440134503</v>
      </c>
      <c r="N22" s="331">
        <v>1.44604003429413</v>
      </c>
      <c r="O22" s="331">
        <v>0.18412800272926699</v>
      </c>
      <c r="P22" s="357">
        <v>-0.72997198440134503</v>
      </c>
      <c r="Q22" s="358">
        <v>1.0555000000000001</v>
      </c>
      <c r="R22" s="358">
        <v>1.2194</v>
      </c>
      <c r="S22" s="359">
        <v>-5.3283000000000002E-3</v>
      </c>
      <c r="U22" s="360" t="s">
        <v>162</v>
      </c>
      <c r="V22" s="336" t="s">
        <v>16</v>
      </c>
      <c r="W22" s="361" t="s">
        <v>181</v>
      </c>
      <c r="X22" s="361" t="s">
        <v>191</v>
      </c>
      <c r="Y22" s="336" t="s">
        <v>321</v>
      </c>
      <c r="Z22" s="362">
        <v>1370</v>
      </c>
      <c r="AA22" s="363">
        <v>0.15100000000000002</v>
      </c>
      <c r="AB22" s="362">
        <v>1370</v>
      </c>
      <c r="AC22" s="363">
        <v>0.15100000000000002</v>
      </c>
      <c r="AD22" s="340">
        <v>1.5760799646377599</v>
      </c>
      <c r="AE22" s="340">
        <v>0.19455999427009402</v>
      </c>
      <c r="AF22" s="364">
        <v>-0.32372400164604198</v>
      </c>
      <c r="AG22" s="340">
        <v>1.5760799646377599</v>
      </c>
      <c r="AH22" s="340">
        <v>0.19455999427009402</v>
      </c>
      <c r="AI22" s="364">
        <v>-0.32372400164604198</v>
      </c>
      <c r="AJ22" s="365">
        <v>1.1504000000000001</v>
      </c>
      <c r="AK22" s="365">
        <v>1.2885</v>
      </c>
      <c r="AL22" s="366">
        <v>-2.3628999999999998E-3</v>
      </c>
      <c r="AN22" s="367" t="s">
        <v>162</v>
      </c>
      <c r="AO22" s="345" t="s">
        <v>324</v>
      </c>
      <c r="AP22" s="368" t="s">
        <v>181</v>
      </c>
      <c r="AQ22" s="368" t="s">
        <v>191</v>
      </c>
      <c r="AR22" s="345" t="s">
        <v>321</v>
      </c>
      <c r="AS22" s="369">
        <v>1370</v>
      </c>
      <c r="AT22" s="370">
        <v>0.15100000000000002</v>
      </c>
      <c r="AU22" s="369">
        <v>1370</v>
      </c>
      <c r="AV22" s="370">
        <v>0.15100000000000002</v>
      </c>
      <c r="AW22" s="349">
        <v>1.5767799615860001</v>
      </c>
      <c r="AX22" s="349">
        <v>0.18918099522125001</v>
      </c>
      <c r="AY22" s="371">
        <v>-0.275123002938926</v>
      </c>
      <c r="AZ22" s="349">
        <v>1.5767799615860001</v>
      </c>
      <c r="BA22" s="349">
        <v>0.18918099522125001</v>
      </c>
      <c r="BB22" s="371">
        <v>-0.275123002938926</v>
      </c>
      <c r="BC22" s="372">
        <v>1.1509</v>
      </c>
      <c r="BD22" s="372">
        <v>1.2528999999999999</v>
      </c>
      <c r="BE22" s="373">
        <v>-2.0081999999999999E-3</v>
      </c>
    </row>
    <row r="23" spans="2:57" ht="14.4">
      <c r="B23" s="353" t="s">
        <v>162</v>
      </c>
      <c r="C23" s="327" t="s">
        <v>237</v>
      </c>
      <c r="D23" s="354" t="s">
        <v>181</v>
      </c>
      <c r="E23" s="354" t="s">
        <v>192</v>
      </c>
      <c r="F23" s="327" t="s">
        <v>321</v>
      </c>
      <c r="G23" s="355">
        <v>3090</v>
      </c>
      <c r="H23" s="356">
        <v>0.78</v>
      </c>
      <c r="I23" s="355">
        <v>3090</v>
      </c>
      <c r="J23" s="356">
        <v>0.78</v>
      </c>
      <c r="K23" s="331">
        <v>3.4432001113891602</v>
      </c>
      <c r="L23" s="331">
        <v>0.92275202041491899</v>
      </c>
      <c r="M23" s="357">
        <v>-0.16649899771436999</v>
      </c>
      <c r="N23" s="331">
        <v>3.4432001113891602</v>
      </c>
      <c r="O23" s="331">
        <v>0.92275202041491899</v>
      </c>
      <c r="P23" s="357">
        <v>-0.16649899771436999</v>
      </c>
      <c r="Q23" s="358">
        <v>1.1143000000000001</v>
      </c>
      <c r="R23" s="358">
        <v>1.1830000000000001</v>
      </c>
      <c r="S23" s="359">
        <v>-5.3883000000000002E-4</v>
      </c>
      <c r="U23" s="360" t="s">
        <v>162</v>
      </c>
      <c r="V23" s="336" t="s">
        <v>16</v>
      </c>
      <c r="W23" s="361" t="s">
        <v>181</v>
      </c>
      <c r="X23" s="361" t="s">
        <v>192</v>
      </c>
      <c r="Y23" s="336" t="s">
        <v>321</v>
      </c>
      <c r="Z23" s="362">
        <v>3090</v>
      </c>
      <c r="AA23" s="363">
        <v>0.78</v>
      </c>
      <c r="AB23" s="362">
        <v>3090</v>
      </c>
      <c r="AC23" s="363">
        <v>0.78</v>
      </c>
      <c r="AD23" s="340">
        <v>3.60076999664307</v>
      </c>
      <c r="AE23" s="340">
        <v>0.97292201826348901</v>
      </c>
      <c r="AF23" s="364">
        <v>-8.0033502308651805E-2</v>
      </c>
      <c r="AG23" s="340">
        <v>3.60076999664307</v>
      </c>
      <c r="AH23" s="340">
        <v>0.97292201826348901</v>
      </c>
      <c r="AI23" s="364">
        <v>-8.0033502308651805E-2</v>
      </c>
      <c r="AJ23" s="365">
        <v>1.1653</v>
      </c>
      <c r="AK23" s="365">
        <v>1.2473000000000001</v>
      </c>
      <c r="AL23" s="366">
        <v>-2.5901E-4</v>
      </c>
      <c r="AN23" s="367" t="s">
        <v>162</v>
      </c>
      <c r="AO23" s="345" t="s">
        <v>324</v>
      </c>
      <c r="AP23" s="368" t="s">
        <v>181</v>
      </c>
      <c r="AQ23" s="368" t="s">
        <v>192</v>
      </c>
      <c r="AR23" s="345" t="s">
        <v>321</v>
      </c>
      <c r="AS23" s="369">
        <v>3090</v>
      </c>
      <c r="AT23" s="370">
        <v>0.78</v>
      </c>
      <c r="AU23" s="369">
        <v>3090</v>
      </c>
      <c r="AV23" s="370">
        <v>0.78</v>
      </c>
      <c r="AW23" s="349">
        <v>3.5833399295806898</v>
      </c>
      <c r="AX23" s="349">
        <v>0.95107802189886603</v>
      </c>
      <c r="AY23" s="371">
        <v>-4.50010993517935E-2</v>
      </c>
      <c r="AZ23" s="349">
        <v>3.5833399295806898</v>
      </c>
      <c r="BA23" s="349">
        <v>0.95107802189886603</v>
      </c>
      <c r="BB23" s="371">
        <v>-4.50010993517935E-2</v>
      </c>
      <c r="BC23" s="372">
        <v>1.1597</v>
      </c>
      <c r="BD23" s="372">
        <v>1.2193000000000001</v>
      </c>
      <c r="BE23" s="373">
        <v>-1.4563E-4</v>
      </c>
    </row>
    <row r="24" spans="2:57" ht="14.4">
      <c r="B24" s="353" t="s">
        <v>162</v>
      </c>
      <c r="C24" s="327" t="s">
        <v>237</v>
      </c>
      <c r="D24" s="354" t="s">
        <v>181</v>
      </c>
      <c r="E24" s="354" t="s">
        <v>193</v>
      </c>
      <c r="F24" s="327" t="s">
        <v>321</v>
      </c>
      <c r="G24" s="355">
        <v>2580</v>
      </c>
      <c r="H24" s="356">
        <v>0.77700000000000002</v>
      </c>
      <c r="I24" s="355">
        <v>2580</v>
      </c>
      <c r="J24" s="356">
        <v>0.77700000000000002</v>
      </c>
      <c r="K24" s="331">
        <v>2.6997599601745601</v>
      </c>
      <c r="L24" s="331">
        <v>0.89930999092757702</v>
      </c>
      <c r="M24" s="357">
        <v>-1.3792799785733201</v>
      </c>
      <c r="N24" s="331">
        <v>2.6997599601745601</v>
      </c>
      <c r="O24" s="331">
        <v>0.89930999092757702</v>
      </c>
      <c r="P24" s="357">
        <v>-1.3792799785733201</v>
      </c>
      <c r="Q24" s="358">
        <v>1.0464</v>
      </c>
      <c r="R24" s="358">
        <v>1.1574</v>
      </c>
      <c r="S24" s="359">
        <v>-5.3460000000000001E-3</v>
      </c>
      <c r="U24" s="360" t="s">
        <v>162</v>
      </c>
      <c r="V24" s="336" t="s">
        <v>16</v>
      </c>
      <c r="W24" s="361" t="s">
        <v>181</v>
      </c>
      <c r="X24" s="361" t="s">
        <v>193</v>
      </c>
      <c r="Y24" s="336" t="s">
        <v>321</v>
      </c>
      <c r="Z24" s="362">
        <v>2580</v>
      </c>
      <c r="AA24" s="363">
        <v>0.77700000000000002</v>
      </c>
      <c r="AB24" s="362">
        <v>2580</v>
      </c>
      <c r="AC24" s="363">
        <v>0.77700000000000002</v>
      </c>
      <c r="AD24" s="340">
        <v>2.8489100933075</v>
      </c>
      <c r="AE24" s="340">
        <v>0.92828099150210597</v>
      </c>
      <c r="AF24" s="364">
        <v>-0.55918800644576494</v>
      </c>
      <c r="AG24" s="340">
        <v>2.8489100933075</v>
      </c>
      <c r="AH24" s="340">
        <v>0.92828099150210597</v>
      </c>
      <c r="AI24" s="364">
        <v>-0.55918800644576494</v>
      </c>
      <c r="AJ24" s="365">
        <v>1.1042000000000001</v>
      </c>
      <c r="AK24" s="365">
        <v>1.1947000000000001</v>
      </c>
      <c r="AL24" s="366">
        <v>-2.1673999999999999E-3</v>
      </c>
      <c r="AN24" s="367" t="s">
        <v>162</v>
      </c>
      <c r="AO24" s="345" t="s">
        <v>324</v>
      </c>
      <c r="AP24" s="368" t="s">
        <v>181</v>
      </c>
      <c r="AQ24" s="368" t="s">
        <v>193</v>
      </c>
      <c r="AR24" s="345" t="s">
        <v>321</v>
      </c>
      <c r="AS24" s="369">
        <v>2580</v>
      </c>
      <c r="AT24" s="370">
        <v>0.77700000000000002</v>
      </c>
      <c r="AU24" s="369">
        <v>2580</v>
      </c>
      <c r="AV24" s="370">
        <v>0.77700000000000002</v>
      </c>
      <c r="AW24" s="349">
        <v>2.7968099117279102</v>
      </c>
      <c r="AX24" s="349">
        <v>0.92752702767029405</v>
      </c>
      <c r="AY24" s="371">
        <v>-0.41337502188980596</v>
      </c>
      <c r="AZ24" s="349">
        <v>2.7968099117279102</v>
      </c>
      <c r="BA24" s="349">
        <v>0.92752702767029405</v>
      </c>
      <c r="BB24" s="371">
        <v>-0.41337502188980596</v>
      </c>
      <c r="BC24" s="372">
        <v>1.0840000000000001</v>
      </c>
      <c r="BD24" s="372">
        <v>1.1937</v>
      </c>
      <c r="BE24" s="373">
        <v>-1.6022E-3</v>
      </c>
    </row>
    <row r="25" spans="2:57" ht="14.4">
      <c r="B25" s="353" t="s">
        <v>162</v>
      </c>
      <c r="C25" s="327" t="s">
        <v>237</v>
      </c>
      <c r="D25" s="354" t="s">
        <v>181</v>
      </c>
      <c r="E25" s="374" t="s">
        <v>194</v>
      </c>
      <c r="F25" s="327" t="s">
        <v>321</v>
      </c>
      <c r="G25" s="355">
        <v>3000</v>
      </c>
      <c r="H25" s="356">
        <v>0.625</v>
      </c>
      <c r="I25" s="355">
        <v>3000</v>
      </c>
      <c r="J25" s="356">
        <v>0.625</v>
      </c>
      <c r="K25" s="331">
        <v>3.30305004119873</v>
      </c>
      <c r="L25" s="331">
        <v>0.81828102702274896</v>
      </c>
      <c r="M25" s="357">
        <v>-1.8885400146246001</v>
      </c>
      <c r="N25" s="331">
        <v>3.30305004119873</v>
      </c>
      <c r="O25" s="331">
        <v>0.81828102702274896</v>
      </c>
      <c r="P25" s="357">
        <v>-1.8885400146246001</v>
      </c>
      <c r="Q25" s="358">
        <v>1.101</v>
      </c>
      <c r="R25" s="358">
        <v>1.3091999999999999</v>
      </c>
      <c r="S25" s="359">
        <v>-6.2950999999999997E-3</v>
      </c>
      <c r="U25" s="360" t="s">
        <v>162</v>
      </c>
      <c r="V25" s="336" t="s">
        <v>16</v>
      </c>
      <c r="W25" s="361" t="s">
        <v>181</v>
      </c>
      <c r="X25" s="361" t="s">
        <v>194</v>
      </c>
      <c r="Y25" s="336" t="s">
        <v>321</v>
      </c>
      <c r="Z25" s="362">
        <v>3000</v>
      </c>
      <c r="AA25" s="363">
        <v>0.625</v>
      </c>
      <c r="AB25" s="362">
        <v>3000</v>
      </c>
      <c r="AC25" s="363">
        <v>0.625</v>
      </c>
      <c r="AD25" s="340">
        <v>3.4741899967193599</v>
      </c>
      <c r="AE25" s="340">
        <v>0.84216898540034901</v>
      </c>
      <c r="AF25" s="364">
        <v>-1.3655600138008599</v>
      </c>
      <c r="AG25" s="340">
        <v>3.4741899967193599</v>
      </c>
      <c r="AH25" s="340">
        <v>0.84216898540034901</v>
      </c>
      <c r="AI25" s="364">
        <v>-1.3655600138008599</v>
      </c>
      <c r="AJ25" s="365">
        <v>1.1580999999999999</v>
      </c>
      <c r="AK25" s="365">
        <v>1.3474999999999999</v>
      </c>
      <c r="AL25" s="366">
        <v>-4.5519000000000002E-3</v>
      </c>
      <c r="AN25" s="367" t="s">
        <v>162</v>
      </c>
      <c r="AO25" s="345" t="s">
        <v>324</v>
      </c>
      <c r="AP25" s="368" t="s">
        <v>181</v>
      </c>
      <c r="AQ25" s="368" t="s">
        <v>194</v>
      </c>
      <c r="AR25" s="345" t="s">
        <v>321</v>
      </c>
      <c r="AS25" s="369">
        <v>3000</v>
      </c>
      <c r="AT25" s="370">
        <v>0.625</v>
      </c>
      <c r="AU25" s="369">
        <v>3000</v>
      </c>
      <c r="AV25" s="370">
        <v>0.625</v>
      </c>
      <c r="AW25" s="349">
        <v>3.4389100074768102</v>
      </c>
      <c r="AX25" s="349">
        <v>0.79281901707872704</v>
      </c>
      <c r="AY25" s="371">
        <v>-0.65447902306914307</v>
      </c>
      <c r="AZ25" s="349">
        <v>3.4389100074768102</v>
      </c>
      <c r="BA25" s="349">
        <v>0.79281901707872704</v>
      </c>
      <c r="BB25" s="371">
        <v>-0.65447902306914307</v>
      </c>
      <c r="BC25" s="372">
        <v>1.1463000000000001</v>
      </c>
      <c r="BD25" s="372">
        <v>1.2685</v>
      </c>
      <c r="BE25" s="373">
        <v>-2.1816000000000001E-3</v>
      </c>
    </row>
    <row r="26" spans="2:57" ht="14.4">
      <c r="B26" s="353" t="s">
        <v>162</v>
      </c>
      <c r="C26" s="327" t="s">
        <v>237</v>
      </c>
      <c r="D26" s="354" t="s">
        <v>181</v>
      </c>
      <c r="E26" s="354" t="s">
        <v>195</v>
      </c>
      <c r="F26" s="327" t="s">
        <v>321</v>
      </c>
      <c r="G26" s="355">
        <v>2980</v>
      </c>
      <c r="H26" s="356">
        <v>0.67800000000000005</v>
      </c>
      <c r="I26" s="355">
        <v>2980</v>
      </c>
      <c r="J26" s="356">
        <v>0.67800000000000005</v>
      </c>
      <c r="K26" s="331">
        <v>3.1507101058960001</v>
      </c>
      <c r="L26" s="331">
        <v>0.827101990580559</v>
      </c>
      <c r="M26" s="357">
        <v>-1.1082800105214099</v>
      </c>
      <c r="N26" s="331">
        <v>3.1507101058960001</v>
      </c>
      <c r="O26" s="331">
        <v>0.827101990580559</v>
      </c>
      <c r="P26" s="357">
        <v>-1.1082800105214099</v>
      </c>
      <c r="Q26" s="375">
        <v>1.0572999999999999</v>
      </c>
      <c r="R26" s="375">
        <v>1.2199</v>
      </c>
      <c r="S26" s="376">
        <v>-3.7190999999999999E-3</v>
      </c>
      <c r="U26" s="360" t="s">
        <v>162</v>
      </c>
      <c r="V26" s="336" t="s">
        <v>16</v>
      </c>
      <c r="W26" s="361" t="s">
        <v>181</v>
      </c>
      <c r="X26" s="377" t="s">
        <v>195</v>
      </c>
      <c r="Y26" s="336" t="s">
        <v>321</v>
      </c>
      <c r="Z26" s="362">
        <v>2980</v>
      </c>
      <c r="AA26" s="363">
        <v>0.67800000000000005</v>
      </c>
      <c r="AB26" s="362">
        <v>2980</v>
      </c>
      <c r="AC26" s="363">
        <v>0.67800000000000005</v>
      </c>
      <c r="AD26" s="340">
        <v>3.3840000629425</v>
      </c>
      <c r="AE26" s="340">
        <v>0.86855201516300395</v>
      </c>
      <c r="AF26" s="364">
        <v>-0.507987011224031</v>
      </c>
      <c r="AG26" s="340">
        <v>3.3840000629425</v>
      </c>
      <c r="AH26" s="340">
        <v>0.86855201516300395</v>
      </c>
      <c r="AI26" s="364">
        <v>-0.507987011224031</v>
      </c>
      <c r="AJ26" s="378">
        <v>1.1355999999999999</v>
      </c>
      <c r="AK26" s="378">
        <v>1.2810999999999999</v>
      </c>
      <c r="AL26" s="379">
        <v>-1.7047E-3</v>
      </c>
      <c r="AN26" s="367" t="s">
        <v>162</v>
      </c>
      <c r="AO26" s="345" t="s">
        <v>324</v>
      </c>
      <c r="AP26" s="368" t="s">
        <v>181</v>
      </c>
      <c r="AQ26" s="380" t="s">
        <v>195</v>
      </c>
      <c r="AR26" s="345" t="s">
        <v>321</v>
      </c>
      <c r="AS26" s="369">
        <v>2980</v>
      </c>
      <c r="AT26" s="370">
        <v>0.67800000000000005</v>
      </c>
      <c r="AU26" s="369">
        <v>2980</v>
      </c>
      <c r="AV26" s="370">
        <v>0.67800000000000005</v>
      </c>
      <c r="AW26" s="349">
        <v>3.41990995407104</v>
      </c>
      <c r="AX26" s="349">
        <v>0.84855698514729694</v>
      </c>
      <c r="AY26" s="371">
        <v>-0.11713899439200801</v>
      </c>
      <c r="AZ26" s="349">
        <v>3.41990995407104</v>
      </c>
      <c r="BA26" s="349">
        <v>0.84855698514729694</v>
      </c>
      <c r="BB26" s="371">
        <v>-0.11713899439200801</v>
      </c>
      <c r="BC26" s="381">
        <v>1.1476</v>
      </c>
      <c r="BD26" s="381">
        <v>1.2516</v>
      </c>
      <c r="BE26" s="382">
        <v>-3.9308000000000002E-4</v>
      </c>
    </row>
    <row r="27" spans="2:57" ht="14.4">
      <c r="B27" s="353" t="s">
        <v>162</v>
      </c>
      <c r="C27" s="327" t="s">
        <v>237</v>
      </c>
      <c r="D27" s="354" t="s">
        <v>181</v>
      </c>
      <c r="E27" s="354" t="s">
        <v>196</v>
      </c>
      <c r="F27" s="327" t="s">
        <v>321</v>
      </c>
      <c r="G27" s="355">
        <v>4830</v>
      </c>
      <c r="H27" s="356">
        <v>0.8</v>
      </c>
      <c r="I27" s="355">
        <v>4830</v>
      </c>
      <c r="J27" s="356">
        <v>0.8</v>
      </c>
      <c r="K27" s="331">
        <v>5.0232300758361799</v>
      </c>
      <c r="L27" s="331">
        <v>0.93527097487822197</v>
      </c>
      <c r="M27" s="357">
        <v>-3.4529499709606197</v>
      </c>
      <c r="N27" s="331">
        <v>5.0232300758361799</v>
      </c>
      <c r="O27" s="331">
        <v>0.93527097487822197</v>
      </c>
      <c r="P27" s="357">
        <v>-3.4529499709606197</v>
      </c>
      <c r="Q27" s="358">
        <v>1.04</v>
      </c>
      <c r="R27" s="358">
        <v>1.1691</v>
      </c>
      <c r="S27" s="359">
        <v>-7.149E-3</v>
      </c>
      <c r="U27" s="360" t="s">
        <v>162</v>
      </c>
      <c r="V27" s="336" t="s">
        <v>16</v>
      </c>
      <c r="W27" s="361" t="s">
        <v>181</v>
      </c>
      <c r="X27" s="361" t="s">
        <v>196</v>
      </c>
      <c r="Y27" s="336" t="s">
        <v>321</v>
      </c>
      <c r="Z27" s="362">
        <v>4830</v>
      </c>
      <c r="AA27" s="363">
        <v>0.8</v>
      </c>
      <c r="AB27" s="362">
        <v>4830</v>
      </c>
      <c r="AC27" s="363">
        <v>0.8</v>
      </c>
      <c r="AD27" s="340">
        <v>5.3676900863647496</v>
      </c>
      <c r="AE27" s="340">
        <v>0.96639001276344105</v>
      </c>
      <c r="AF27" s="364">
        <v>-2.2424399852752699</v>
      </c>
      <c r="AG27" s="340">
        <v>5.3676900863647496</v>
      </c>
      <c r="AH27" s="340">
        <v>0.96639001276344105</v>
      </c>
      <c r="AI27" s="364">
        <v>-2.2424399852752699</v>
      </c>
      <c r="AJ27" s="365">
        <v>1.1113</v>
      </c>
      <c r="AK27" s="365">
        <v>1.208</v>
      </c>
      <c r="AL27" s="366">
        <v>-4.6426999999999996E-3</v>
      </c>
      <c r="AN27" s="367" t="s">
        <v>162</v>
      </c>
      <c r="AO27" s="345" t="s">
        <v>324</v>
      </c>
      <c r="AP27" s="368" t="s">
        <v>181</v>
      </c>
      <c r="AQ27" s="368" t="s">
        <v>196</v>
      </c>
      <c r="AR27" s="345" t="s">
        <v>321</v>
      </c>
      <c r="AS27" s="369">
        <v>4830</v>
      </c>
      <c r="AT27" s="370">
        <v>0.8</v>
      </c>
      <c r="AU27" s="369">
        <v>4830</v>
      </c>
      <c r="AV27" s="370">
        <v>0.8</v>
      </c>
      <c r="AW27" s="349">
        <v>5.46293020248413</v>
      </c>
      <c r="AX27" s="349">
        <v>0.98811800125986293</v>
      </c>
      <c r="AY27" s="371">
        <v>-2.08973996341228</v>
      </c>
      <c r="AZ27" s="349">
        <v>5.46293020248413</v>
      </c>
      <c r="BA27" s="349">
        <v>0.98811800125986293</v>
      </c>
      <c r="BB27" s="371">
        <v>-2.08973996341228</v>
      </c>
      <c r="BC27" s="372">
        <v>1.131</v>
      </c>
      <c r="BD27" s="372">
        <v>1.2351000000000001</v>
      </c>
      <c r="BE27" s="373">
        <v>-4.3265999999999999E-3</v>
      </c>
    </row>
    <row r="28" spans="2:57" ht="14.4">
      <c r="B28" s="353" t="s">
        <v>162</v>
      </c>
      <c r="C28" s="327" t="s">
        <v>237</v>
      </c>
      <c r="D28" s="354" t="s">
        <v>181</v>
      </c>
      <c r="E28" s="354" t="s">
        <v>197</v>
      </c>
      <c r="F28" s="327" t="s">
        <v>321</v>
      </c>
      <c r="G28" s="355">
        <v>4810</v>
      </c>
      <c r="H28" s="356">
        <v>0.80800000000000005</v>
      </c>
      <c r="I28" s="355">
        <v>4810</v>
      </c>
      <c r="J28" s="356">
        <v>0.80800000000000005</v>
      </c>
      <c r="K28" s="331">
        <v>4.9885601997375497</v>
      </c>
      <c r="L28" s="331">
        <v>0.93854102306067899</v>
      </c>
      <c r="M28" s="357">
        <v>-3.4654401242733002</v>
      </c>
      <c r="N28" s="331">
        <v>4.9885601997375497</v>
      </c>
      <c r="O28" s="331">
        <v>0.93854102306067899</v>
      </c>
      <c r="P28" s="357">
        <v>-3.4654401242733002</v>
      </c>
      <c r="Q28" s="358">
        <v>1.0370999999999999</v>
      </c>
      <c r="R28" s="358">
        <v>1.1616</v>
      </c>
      <c r="S28" s="359">
        <v>-7.2046999999999996E-3</v>
      </c>
      <c r="U28" s="360" t="s">
        <v>162</v>
      </c>
      <c r="V28" s="336" t="s">
        <v>16</v>
      </c>
      <c r="W28" s="361" t="s">
        <v>181</v>
      </c>
      <c r="X28" s="361" t="s">
        <v>197</v>
      </c>
      <c r="Y28" s="336" t="s">
        <v>321</v>
      </c>
      <c r="Z28" s="362">
        <v>4810</v>
      </c>
      <c r="AA28" s="363">
        <v>0.80800000000000005</v>
      </c>
      <c r="AB28" s="362">
        <v>4810</v>
      </c>
      <c r="AC28" s="363">
        <v>0.80800000000000005</v>
      </c>
      <c r="AD28" s="340">
        <v>5.2521200180053702</v>
      </c>
      <c r="AE28" s="340">
        <v>0.97738602198660396</v>
      </c>
      <c r="AF28" s="364">
        <v>-2.5008700788021101</v>
      </c>
      <c r="AG28" s="340">
        <v>5.2521200180053702</v>
      </c>
      <c r="AH28" s="340">
        <v>0.97738602198660396</v>
      </c>
      <c r="AI28" s="364">
        <v>-2.5008700788021101</v>
      </c>
      <c r="AJ28" s="365">
        <v>1.0919000000000001</v>
      </c>
      <c r="AK28" s="365">
        <v>1.2096</v>
      </c>
      <c r="AL28" s="366">
        <v>-5.1992999999999996E-3</v>
      </c>
      <c r="AN28" s="367" t="s">
        <v>162</v>
      </c>
      <c r="AO28" s="345" t="s">
        <v>324</v>
      </c>
      <c r="AP28" s="368" t="s">
        <v>181</v>
      </c>
      <c r="AQ28" s="368" t="s">
        <v>197</v>
      </c>
      <c r="AR28" s="345" t="s">
        <v>321</v>
      </c>
      <c r="AS28" s="369">
        <v>4810</v>
      </c>
      <c r="AT28" s="370">
        <v>0.80800000000000005</v>
      </c>
      <c r="AU28" s="369">
        <v>4810</v>
      </c>
      <c r="AV28" s="370">
        <v>0.80800000000000005</v>
      </c>
      <c r="AW28" s="349">
        <v>5.3585000038146999</v>
      </c>
      <c r="AX28" s="349">
        <v>0.98294299095869109</v>
      </c>
      <c r="AY28" s="371">
        <v>-2.3673899471759801</v>
      </c>
      <c r="AZ28" s="349">
        <v>5.3585000038146999</v>
      </c>
      <c r="BA28" s="349">
        <v>0.98294299095869109</v>
      </c>
      <c r="BB28" s="371">
        <v>-2.3673899471759801</v>
      </c>
      <c r="BC28" s="372">
        <v>1.1140000000000001</v>
      </c>
      <c r="BD28" s="372">
        <v>1.2164999999999999</v>
      </c>
      <c r="BE28" s="373">
        <v>-4.9217999999999996E-3</v>
      </c>
    </row>
    <row r="29" spans="2:57" ht="14.4">
      <c r="B29" s="353" t="s">
        <v>162</v>
      </c>
      <c r="C29" s="327" t="s">
        <v>237</v>
      </c>
      <c r="D29" s="354" t="s">
        <v>181</v>
      </c>
      <c r="E29" s="354" t="s">
        <v>198</v>
      </c>
      <c r="F29" s="327" t="s">
        <v>321</v>
      </c>
      <c r="G29" s="355">
        <v>3710</v>
      </c>
      <c r="H29" s="356">
        <v>0.63100000000000001</v>
      </c>
      <c r="I29" s="355">
        <v>3710</v>
      </c>
      <c r="J29" s="356">
        <v>0.63100000000000001</v>
      </c>
      <c r="K29" s="331">
        <v>3.9305799007415798</v>
      </c>
      <c r="L29" s="331">
        <v>0.772876024711877</v>
      </c>
      <c r="M29" s="357">
        <v>-2.5172799825668299</v>
      </c>
      <c r="N29" s="331">
        <v>3.9305799007415798</v>
      </c>
      <c r="O29" s="331">
        <v>0.772876024711877</v>
      </c>
      <c r="P29" s="357">
        <v>-2.5172799825668299</v>
      </c>
      <c r="Q29" s="358">
        <v>1.0595000000000001</v>
      </c>
      <c r="R29" s="358">
        <v>1.2248000000000001</v>
      </c>
      <c r="S29" s="359">
        <v>-6.7850999999999996E-3</v>
      </c>
      <c r="U29" s="360" t="s">
        <v>162</v>
      </c>
      <c r="V29" s="336" t="s">
        <v>16</v>
      </c>
      <c r="W29" s="361" t="s">
        <v>181</v>
      </c>
      <c r="X29" s="361" t="s">
        <v>198</v>
      </c>
      <c r="Y29" s="336" t="s">
        <v>321</v>
      </c>
      <c r="Z29" s="362">
        <v>3710</v>
      </c>
      <c r="AA29" s="363">
        <v>0.63100000000000001</v>
      </c>
      <c r="AB29" s="362">
        <v>3710</v>
      </c>
      <c r="AC29" s="363">
        <v>0.63100000000000001</v>
      </c>
      <c r="AD29" s="340">
        <v>4.2167301177978498</v>
      </c>
      <c r="AE29" s="340">
        <v>0.791729020420462</v>
      </c>
      <c r="AF29" s="364">
        <v>-0.77408500947058201</v>
      </c>
      <c r="AG29" s="340">
        <v>4.2167301177978498</v>
      </c>
      <c r="AH29" s="340">
        <v>0.791729020420462</v>
      </c>
      <c r="AI29" s="364">
        <v>-0.77408500947058201</v>
      </c>
      <c r="AJ29" s="365">
        <v>1.1366000000000001</v>
      </c>
      <c r="AK29" s="365">
        <v>1.2546999999999999</v>
      </c>
      <c r="AL29" s="366">
        <v>-2.0864999999999998E-3</v>
      </c>
      <c r="AN29" s="367" t="s">
        <v>162</v>
      </c>
      <c r="AO29" s="345" t="s">
        <v>324</v>
      </c>
      <c r="AP29" s="368" t="s">
        <v>181</v>
      </c>
      <c r="AQ29" s="368" t="s">
        <v>198</v>
      </c>
      <c r="AR29" s="345" t="s">
        <v>321</v>
      </c>
      <c r="AS29" s="369">
        <v>3710</v>
      </c>
      <c r="AT29" s="370">
        <v>0.63100000000000001</v>
      </c>
      <c r="AU29" s="369">
        <v>3710</v>
      </c>
      <c r="AV29" s="370">
        <v>0.63100000000000001</v>
      </c>
      <c r="AW29" s="349">
        <v>4.2313199043273899</v>
      </c>
      <c r="AX29" s="349">
        <v>0.78190700151026193</v>
      </c>
      <c r="AY29" s="371">
        <v>-0.41020698845386494</v>
      </c>
      <c r="AZ29" s="349">
        <v>4.2313199043273899</v>
      </c>
      <c r="BA29" s="349">
        <v>0.78190700151026193</v>
      </c>
      <c r="BB29" s="371">
        <v>-0.41020698845386494</v>
      </c>
      <c r="BC29" s="372">
        <v>1.1405000000000001</v>
      </c>
      <c r="BD29" s="372">
        <v>1.2392000000000001</v>
      </c>
      <c r="BE29" s="373">
        <v>-1.1057E-3</v>
      </c>
    </row>
    <row r="30" spans="2:57" ht="14.4">
      <c r="B30" s="353" t="s">
        <v>162</v>
      </c>
      <c r="C30" s="327" t="s">
        <v>237</v>
      </c>
      <c r="D30" s="354" t="s">
        <v>181</v>
      </c>
      <c r="E30" s="354" t="s">
        <v>199</v>
      </c>
      <c r="F30" s="327" t="s">
        <v>321</v>
      </c>
      <c r="G30" s="355">
        <v>4350</v>
      </c>
      <c r="H30" s="356">
        <v>0.68900000000000006</v>
      </c>
      <c r="I30" s="355">
        <v>4350</v>
      </c>
      <c r="J30" s="356">
        <v>0.68900000000000006</v>
      </c>
      <c r="K30" s="331">
        <v>4.6101799011230504</v>
      </c>
      <c r="L30" s="331">
        <v>0.84089097799733303</v>
      </c>
      <c r="M30" s="357">
        <v>-2.7300899848341902</v>
      </c>
      <c r="N30" s="331">
        <v>4.6101799011230504</v>
      </c>
      <c r="O30" s="331">
        <v>0.84089097799733303</v>
      </c>
      <c r="P30" s="357">
        <v>-2.7300899848341902</v>
      </c>
      <c r="Q30" s="358">
        <v>1.0598000000000001</v>
      </c>
      <c r="R30" s="358">
        <v>1.2204999999999999</v>
      </c>
      <c r="S30" s="359">
        <v>-6.2760999999999997E-3</v>
      </c>
      <c r="U30" s="360" t="s">
        <v>162</v>
      </c>
      <c r="V30" s="336" t="s">
        <v>16</v>
      </c>
      <c r="W30" s="361" t="s">
        <v>181</v>
      </c>
      <c r="X30" s="361" t="s">
        <v>199</v>
      </c>
      <c r="Y30" s="336" t="s">
        <v>321</v>
      </c>
      <c r="Z30" s="362">
        <v>4350</v>
      </c>
      <c r="AA30" s="363">
        <v>0.68900000000000006</v>
      </c>
      <c r="AB30" s="362">
        <v>4350</v>
      </c>
      <c r="AC30" s="363">
        <v>0.68900000000000006</v>
      </c>
      <c r="AD30" s="340">
        <v>4.90100002288818</v>
      </c>
      <c r="AE30" s="340">
        <v>0.87993097258731701</v>
      </c>
      <c r="AF30" s="364">
        <v>-1.1665799655020201</v>
      </c>
      <c r="AG30" s="340">
        <v>4.90100002288818</v>
      </c>
      <c r="AH30" s="340">
        <v>0.87993097258731701</v>
      </c>
      <c r="AI30" s="364">
        <v>-1.1665799655020201</v>
      </c>
      <c r="AJ30" s="365">
        <v>1.1267</v>
      </c>
      <c r="AK30" s="365">
        <v>1.2770999999999999</v>
      </c>
      <c r="AL30" s="366">
        <v>-2.6817999999999998E-3</v>
      </c>
      <c r="AN30" s="367" t="s">
        <v>162</v>
      </c>
      <c r="AO30" s="345" t="s">
        <v>324</v>
      </c>
      <c r="AP30" s="368" t="s">
        <v>181</v>
      </c>
      <c r="AQ30" s="368" t="s">
        <v>199</v>
      </c>
      <c r="AR30" s="345" t="s">
        <v>321</v>
      </c>
      <c r="AS30" s="369">
        <v>4350</v>
      </c>
      <c r="AT30" s="370">
        <v>0.68900000000000006</v>
      </c>
      <c r="AU30" s="369">
        <v>4350</v>
      </c>
      <c r="AV30" s="370">
        <v>0.68900000000000006</v>
      </c>
      <c r="AW30" s="349">
        <v>4.9155797958373997</v>
      </c>
      <c r="AX30" s="349">
        <v>0.87330298265442297</v>
      </c>
      <c r="AY30" s="371">
        <v>-0.90372497215867009</v>
      </c>
      <c r="AZ30" s="349">
        <v>4.9155797958373997</v>
      </c>
      <c r="BA30" s="349">
        <v>0.87330298265442297</v>
      </c>
      <c r="BB30" s="371">
        <v>-0.90372497215867009</v>
      </c>
      <c r="BC30" s="372">
        <v>1.1299999999999999</v>
      </c>
      <c r="BD30" s="372">
        <v>1.2675000000000001</v>
      </c>
      <c r="BE30" s="373">
        <v>-2.0774999999999999E-3</v>
      </c>
    </row>
    <row r="31" spans="2:57" ht="14.4">
      <c r="B31" s="353" t="s">
        <v>162</v>
      </c>
      <c r="C31" s="327" t="s">
        <v>237</v>
      </c>
      <c r="D31" s="354" t="s">
        <v>181</v>
      </c>
      <c r="E31" s="354" t="s">
        <v>200</v>
      </c>
      <c r="F31" s="327" t="s">
        <v>321</v>
      </c>
      <c r="G31" s="355">
        <v>4010</v>
      </c>
      <c r="H31" s="356">
        <v>0.7</v>
      </c>
      <c r="I31" s="355">
        <v>4010</v>
      </c>
      <c r="J31" s="356">
        <v>0.7</v>
      </c>
      <c r="K31" s="331">
        <v>4.2007498741149902</v>
      </c>
      <c r="L31" s="331">
        <v>0.84619998233392801</v>
      </c>
      <c r="M31" s="357">
        <v>-2.4223100394010499</v>
      </c>
      <c r="N31" s="331">
        <v>4.2007498741149902</v>
      </c>
      <c r="O31" s="331">
        <v>0.84619998233392801</v>
      </c>
      <c r="P31" s="357">
        <v>-2.4223100394010499</v>
      </c>
      <c r="Q31" s="358">
        <v>1.0476000000000001</v>
      </c>
      <c r="R31" s="358">
        <v>1.2089000000000001</v>
      </c>
      <c r="S31" s="359">
        <v>-6.0407000000000004E-3</v>
      </c>
      <c r="U31" s="360" t="s">
        <v>162</v>
      </c>
      <c r="V31" s="336" t="s">
        <v>16</v>
      </c>
      <c r="W31" s="361" t="s">
        <v>181</v>
      </c>
      <c r="X31" s="361" t="s">
        <v>200</v>
      </c>
      <c r="Y31" s="336" t="s">
        <v>321</v>
      </c>
      <c r="Z31" s="362">
        <v>4010</v>
      </c>
      <c r="AA31" s="363">
        <v>0.7</v>
      </c>
      <c r="AB31" s="362">
        <v>4010</v>
      </c>
      <c r="AC31" s="363">
        <v>0.7</v>
      </c>
      <c r="AD31" s="340">
        <v>4.4634299278259304</v>
      </c>
      <c r="AE31" s="340">
        <v>0.882085005287081</v>
      </c>
      <c r="AF31" s="364">
        <v>-0.89414604008197807</v>
      </c>
      <c r="AG31" s="340">
        <v>4.4634299278259304</v>
      </c>
      <c r="AH31" s="340">
        <v>0.882085005287081</v>
      </c>
      <c r="AI31" s="364">
        <v>-0.89414604008197807</v>
      </c>
      <c r="AJ31" s="365">
        <v>1.1131</v>
      </c>
      <c r="AK31" s="365">
        <v>1.2601</v>
      </c>
      <c r="AL31" s="366">
        <v>-2.2298000000000001E-3</v>
      </c>
      <c r="AN31" s="367" t="s">
        <v>162</v>
      </c>
      <c r="AO31" s="345" t="s">
        <v>324</v>
      </c>
      <c r="AP31" s="368" t="s">
        <v>181</v>
      </c>
      <c r="AQ31" s="368" t="s">
        <v>200</v>
      </c>
      <c r="AR31" s="345" t="s">
        <v>321</v>
      </c>
      <c r="AS31" s="369">
        <v>4010</v>
      </c>
      <c r="AT31" s="370">
        <v>0.7</v>
      </c>
      <c r="AU31" s="369">
        <v>4010</v>
      </c>
      <c r="AV31" s="370">
        <v>0.7</v>
      </c>
      <c r="AW31" s="349">
        <v>4.4508500099182102</v>
      </c>
      <c r="AX31" s="349">
        <v>0.86509500397369299</v>
      </c>
      <c r="AY31" s="371">
        <v>-0.62228399328887496</v>
      </c>
      <c r="AZ31" s="349">
        <v>4.4508500099182102</v>
      </c>
      <c r="BA31" s="349">
        <v>0.86509500397369299</v>
      </c>
      <c r="BB31" s="371">
        <v>-0.62228399328887496</v>
      </c>
      <c r="BC31" s="372">
        <v>1.1099000000000001</v>
      </c>
      <c r="BD31" s="372">
        <v>1.2359</v>
      </c>
      <c r="BE31" s="373">
        <v>-1.5518000000000001E-3</v>
      </c>
    </row>
    <row r="32" spans="2:57" ht="14.4">
      <c r="B32" s="353" t="s">
        <v>162</v>
      </c>
      <c r="C32" s="327" t="s">
        <v>237</v>
      </c>
      <c r="D32" s="354" t="s">
        <v>181</v>
      </c>
      <c r="E32" s="354" t="s">
        <v>201</v>
      </c>
      <c r="F32" s="327" t="s">
        <v>321</v>
      </c>
      <c r="G32" s="355">
        <v>2760</v>
      </c>
      <c r="H32" s="356">
        <v>0.57499999999999996</v>
      </c>
      <c r="I32" s="355">
        <v>2760</v>
      </c>
      <c r="J32" s="356">
        <v>0.57499999999999996</v>
      </c>
      <c r="K32" s="331">
        <v>2.6548800468444802</v>
      </c>
      <c r="L32" s="331">
        <v>0.723531004041433</v>
      </c>
      <c r="M32" s="357">
        <v>-2.4199100211262699</v>
      </c>
      <c r="N32" s="331">
        <v>2.6548800468444802</v>
      </c>
      <c r="O32" s="331">
        <v>0.723531004041433</v>
      </c>
      <c r="P32" s="357">
        <v>-2.4199100211262699</v>
      </c>
      <c r="Q32" s="358">
        <v>0.96191000000000004</v>
      </c>
      <c r="R32" s="358">
        <v>1.2583</v>
      </c>
      <c r="S32" s="359">
        <v>-8.7677999999999992E-3</v>
      </c>
      <c r="U32" s="360" t="s">
        <v>162</v>
      </c>
      <c r="V32" s="336" t="s">
        <v>16</v>
      </c>
      <c r="W32" s="361" t="s">
        <v>181</v>
      </c>
      <c r="X32" s="361" t="s">
        <v>201</v>
      </c>
      <c r="Y32" s="336" t="s">
        <v>321</v>
      </c>
      <c r="Z32" s="362">
        <v>2760</v>
      </c>
      <c r="AA32" s="363">
        <v>0.57499999999999996</v>
      </c>
      <c r="AB32" s="362">
        <v>2760</v>
      </c>
      <c r="AC32" s="363">
        <v>0.57499999999999996</v>
      </c>
      <c r="AD32" s="340">
        <v>2.8845899105071999</v>
      </c>
      <c r="AE32" s="340">
        <v>0.74618298094719604</v>
      </c>
      <c r="AF32" s="364">
        <v>-1.4318799600005099</v>
      </c>
      <c r="AG32" s="340">
        <v>2.8845899105071999</v>
      </c>
      <c r="AH32" s="340">
        <v>0.74618298094719604</v>
      </c>
      <c r="AI32" s="364">
        <v>-1.4318799600005099</v>
      </c>
      <c r="AJ32" s="365">
        <v>1.0450999999999999</v>
      </c>
      <c r="AK32" s="365">
        <v>1.2977000000000001</v>
      </c>
      <c r="AL32" s="366">
        <v>-5.1879999999999999E-3</v>
      </c>
      <c r="AN32" s="367" t="s">
        <v>162</v>
      </c>
      <c r="AO32" s="345" t="s">
        <v>324</v>
      </c>
      <c r="AP32" s="368" t="s">
        <v>181</v>
      </c>
      <c r="AQ32" s="368" t="s">
        <v>201</v>
      </c>
      <c r="AR32" s="345" t="s">
        <v>321</v>
      </c>
      <c r="AS32" s="369">
        <v>2760</v>
      </c>
      <c r="AT32" s="370">
        <v>0.57499999999999996</v>
      </c>
      <c r="AU32" s="369">
        <v>2760</v>
      </c>
      <c r="AV32" s="370">
        <v>0.57499999999999996</v>
      </c>
      <c r="AW32" s="349">
        <v>2.8229799270629901</v>
      </c>
      <c r="AX32" s="349">
        <v>0.74428302468731999</v>
      </c>
      <c r="AY32" s="371">
        <v>-1.2935499660670802</v>
      </c>
      <c r="AZ32" s="349">
        <v>2.8229799270629901</v>
      </c>
      <c r="BA32" s="349">
        <v>0.74428302468731999</v>
      </c>
      <c r="BB32" s="371">
        <v>-1.2935499660670802</v>
      </c>
      <c r="BC32" s="372">
        <v>1.0227999999999999</v>
      </c>
      <c r="BD32" s="372">
        <v>1.2944</v>
      </c>
      <c r="BE32" s="373">
        <v>-4.6867999999999996E-3</v>
      </c>
    </row>
    <row r="33" spans="2:57" ht="14.4">
      <c r="B33" s="353" t="s">
        <v>162</v>
      </c>
      <c r="C33" s="327" t="s">
        <v>237</v>
      </c>
      <c r="D33" s="354" t="s">
        <v>181</v>
      </c>
      <c r="E33" s="354" t="s">
        <v>202</v>
      </c>
      <c r="F33" s="327" t="s">
        <v>321</v>
      </c>
      <c r="G33" s="355">
        <v>2760</v>
      </c>
      <c r="H33" s="356">
        <v>0.57499999999999996</v>
      </c>
      <c r="I33" s="355">
        <v>2760</v>
      </c>
      <c r="J33" s="356">
        <v>0.57499999999999996</v>
      </c>
      <c r="K33" s="331">
        <v>2.7599999904632599</v>
      </c>
      <c r="L33" s="331">
        <v>0.57500001275911894</v>
      </c>
      <c r="M33" s="357">
        <v>0</v>
      </c>
      <c r="N33" s="331">
        <v>2.7599999904632599</v>
      </c>
      <c r="O33" s="331">
        <v>0.57500001275911894</v>
      </c>
      <c r="P33" s="357">
        <v>0</v>
      </c>
      <c r="Q33" s="358">
        <v>1</v>
      </c>
      <c r="R33" s="358">
        <v>1</v>
      </c>
      <c r="S33" s="359">
        <v>0</v>
      </c>
      <c r="U33" s="360" t="s">
        <v>162</v>
      </c>
      <c r="V33" s="336" t="s">
        <v>16</v>
      </c>
      <c r="W33" s="361" t="s">
        <v>181</v>
      </c>
      <c r="X33" s="361" t="s">
        <v>202</v>
      </c>
      <c r="Y33" s="336" t="s">
        <v>321</v>
      </c>
      <c r="Z33" s="362">
        <v>2760</v>
      </c>
      <c r="AA33" s="363">
        <v>0.57499999999999996</v>
      </c>
      <c r="AB33" s="362">
        <v>2760</v>
      </c>
      <c r="AC33" s="363">
        <v>0.57499999999999996</v>
      </c>
      <c r="AD33" s="340">
        <v>2.7599999904632599</v>
      </c>
      <c r="AE33" s="340">
        <v>0.57500001275911894</v>
      </c>
      <c r="AF33" s="364">
        <v>0</v>
      </c>
      <c r="AG33" s="340">
        <v>2.7599999904632599</v>
      </c>
      <c r="AH33" s="340">
        <v>0.57500001275911894</v>
      </c>
      <c r="AI33" s="364">
        <v>0</v>
      </c>
      <c r="AJ33" s="365">
        <v>1</v>
      </c>
      <c r="AK33" s="365">
        <v>1</v>
      </c>
      <c r="AL33" s="366">
        <v>0</v>
      </c>
      <c r="AN33" s="367" t="s">
        <v>162</v>
      </c>
      <c r="AO33" s="345" t="s">
        <v>324</v>
      </c>
      <c r="AP33" s="368" t="s">
        <v>181</v>
      </c>
      <c r="AQ33" s="368" t="s">
        <v>202</v>
      </c>
      <c r="AR33" s="345" t="s">
        <v>321</v>
      </c>
      <c r="AS33" s="369">
        <v>2760</v>
      </c>
      <c r="AT33" s="370">
        <v>0.57499999999999996</v>
      </c>
      <c r="AU33" s="369">
        <v>2760</v>
      </c>
      <c r="AV33" s="370">
        <v>0.57499999999999996</v>
      </c>
      <c r="AW33" s="349">
        <v>2.7599999904632599</v>
      </c>
      <c r="AX33" s="349">
        <v>0.57500001275911894</v>
      </c>
      <c r="AY33" s="371">
        <v>0</v>
      </c>
      <c r="AZ33" s="349">
        <v>2.7599999904632599</v>
      </c>
      <c r="BA33" s="349">
        <v>0.57500001275911894</v>
      </c>
      <c r="BB33" s="371">
        <v>0</v>
      </c>
      <c r="BC33" s="372">
        <v>1</v>
      </c>
      <c r="BD33" s="372">
        <v>1</v>
      </c>
      <c r="BE33" s="373">
        <v>0</v>
      </c>
    </row>
    <row r="34" spans="2:57" ht="14.4">
      <c r="B34" s="353" t="s">
        <v>162</v>
      </c>
      <c r="C34" s="327" t="s">
        <v>237</v>
      </c>
      <c r="D34" s="354" t="s">
        <v>181</v>
      </c>
      <c r="E34" s="354" t="s">
        <v>203</v>
      </c>
      <c r="F34" s="327" t="s">
        <v>321</v>
      </c>
      <c r="G34" s="355">
        <v>4730</v>
      </c>
      <c r="H34" s="356">
        <v>0.54799999999999993</v>
      </c>
      <c r="I34" s="355">
        <v>4730</v>
      </c>
      <c r="J34" s="356">
        <v>0.54799999999999993</v>
      </c>
      <c r="K34" s="331">
        <v>7.64487981796265</v>
      </c>
      <c r="L34" s="331">
        <v>0.70847402093931999</v>
      </c>
      <c r="M34" s="357">
        <v>0</v>
      </c>
      <c r="N34" s="331">
        <v>7.64487981796265</v>
      </c>
      <c r="O34" s="331">
        <v>0.70847402093931999</v>
      </c>
      <c r="P34" s="357">
        <v>0</v>
      </c>
      <c r="Q34" s="358">
        <v>1.6163000000000001</v>
      </c>
      <c r="R34" s="358">
        <v>1.2927999999999999</v>
      </c>
      <c r="S34" s="359">
        <v>0</v>
      </c>
      <c r="U34" s="360" t="s">
        <v>162</v>
      </c>
      <c r="V34" s="336" t="s">
        <v>16</v>
      </c>
      <c r="W34" s="361" t="s">
        <v>181</v>
      </c>
      <c r="X34" s="361" t="s">
        <v>203</v>
      </c>
      <c r="Y34" s="336" t="s">
        <v>321</v>
      </c>
      <c r="Z34" s="362">
        <v>4730</v>
      </c>
      <c r="AA34" s="363">
        <v>0.54799999999999993</v>
      </c>
      <c r="AB34" s="362">
        <v>4730</v>
      </c>
      <c r="AC34" s="363">
        <v>0.54799999999999993</v>
      </c>
      <c r="AD34" s="340">
        <v>7.5062398910522496</v>
      </c>
      <c r="AE34" s="340">
        <v>0.69169898051768497</v>
      </c>
      <c r="AF34" s="364">
        <v>0</v>
      </c>
      <c r="AG34" s="340">
        <v>7.5062398910522496</v>
      </c>
      <c r="AH34" s="340">
        <v>0.69169898051768497</v>
      </c>
      <c r="AI34" s="364">
        <v>0</v>
      </c>
      <c r="AJ34" s="365">
        <v>1.5869</v>
      </c>
      <c r="AK34" s="365">
        <v>1.2622</v>
      </c>
      <c r="AL34" s="366">
        <v>0</v>
      </c>
      <c r="AN34" s="367" t="s">
        <v>162</v>
      </c>
      <c r="AO34" s="345" t="s">
        <v>324</v>
      </c>
      <c r="AP34" s="368" t="s">
        <v>181</v>
      </c>
      <c r="AQ34" s="368" t="s">
        <v>203</v>
      </c>
      <c r="AR34" s="345" t="s">
        <v>321</v>
      </c>
      <c r="AS34" s="369">
        <v>4730</v>
      </c>
      <c r="AT34" s="370">
        <v>0.54799999999999993</v>
      </c>
      <c r="AU34" s="369">
        <v>4730</v>
      </c>
      <c r="AV34" s="370">
        <v>0.54799999999999993</v>
      </c>
      <c r="AW34" s="349">
        <v>7.4509601593017596</v>
      </c>
      <c r="AX34" s="349">
        <v>0.68908702814951495</v>
      </c>
      <c r="AY34" s="371">
        <v>0</v>
      </c>
      <c r="AZ34" s="349">
        <v>7.4509601593017596</v>
      </c>
      <c r="BA34" s="349">
        <v>0.68908702814951495</v>
      </c>
      <c r="BB34" s="371">
        <v>0</v>
      </c>
      <c r="BC34" s="372">
        <v>1.5752999999999999</v>
      </c>
      <c r="BD34" s="372">
        <v>1.2575000000000001</v>
      </c>
      <c r="BE34" s="373">
        <v>0</v>
      </c>
    </row>
    <row r="35" spans="2:57" ht="14.4">
      <c r="B35" s="383" t="s">
        <v>162</v>
      </c>
      <c r="C35" s="384" t="s">
        <v>237</v>
      </c>
      <c r="D35" s="384" t="s">
        <v>181</v>
      </c>
      <c r="E35" s="384" t="s">
        <v>204</v>
      </c>
      <c r="F35" s="384" t="s">
        <v>321</v>
      </c>
      <c r="G35" s="385">
        <v>3049.5</v>
      </c>
      <c r="H35" s="386">
        <v>0.56101000000000001</v>
      </c>
      <c r="I35" s="385">
        <v>3049.5</v>
      </c>
      <c r="J35" s="386">
        <v>0.56101000000000001</v>
      </c>
      <c r="K35" s="387">
        <v>3.2368299961090101</v>
      </c>
      <c r="L35" s="388">
        <v>0.68281299900263503</v>
      </c>
      <c r="M35" s="389">
        <v>-2.0125899463892001</v>
      </c>
      <c r="N35" s="387">
        <v>3.2368299961090101</v>
      </c>
      <c r="O35" s="388">
        <v>0.68281299900263503</v>
      </c>
      <c r="P35" s="389">
        <v>-2.0125899463892001</v>
      </c>
      <c r="Q35" s="390">
        <v>1.0613999999999999</v>
      </c>
      <c r="R35" s="390">
        <v>1.2171000000000001</v>
      </c>
      <c r="S35" s="391">
        <v>-6.5998000000000003E-3</v>
      </c>
      <c r="U35" s="392" t="s">
        <v>162</v>
      </c>
      <c r="V35" s="393" t="s">
        <v>16</v>
      </c>
      <c r="W35" s="393" t="s">
        <v>181</v>
      </c>
      <c r="X35" s="393" t="s">
        <v>204</v>
      </c>
      <c r="Y35" s="393" t="s">
        <v>321</v>
      </c>
      <c r="Z35" s="394">
        <v>3077.1000000000004</v>
      </c>
      <c r="AA35" s="395">
        <v>0.61758999999999997</v>
      </c>
      <c r="AB35" s="394">
        <v>3077.1000000000004</v>
      </c>
      <c r="AC35" s="395">
        <v>0.61758999999999997</v>
      </c>
      <c r="AD35" s="396">
        <v>3.4351999759674099</v>
      </c>
      <c r="AE35" s="397">
        <v>0.773917010519654</v>
      </c>
      <c r="AF35" s="398">
        <v>-1.19730001315475</v>
      </c>
      <c r="AG35" s="396">
        <v>3.4351999759674099</v>
      </c>
      <c r="AH35" s="397">
        <v>0.773917010519654</v>
      </c>
      <c r="AI35" s="398">
        <v>-1.19730001315475</v>
      </c>
      <c r="AJ35" s="399">
        <v>1.1164000000000001</v>
      </c>
      <c r="AK35" s="399">
        <v>1.2531000000000001</v>
      </c>
      <c r="AL35" s="400">
        <v>-3.8909999999999999E-3</v>
      </c>
      <c r="AN35" s="401" t="s">
        <v>162</v>
      </c>
      <c r="AO35" s="402" t="s">
        <v>324</v>
      </c>
      <c r="AP35" s="402" t="s">
        <v>181</v>
      </c>
      <c r="AQ35" s="402" t="s">
        <v>204</v>
      </c>
      <c r="AR35" s="402" t="s">
        <v>321</v>
      </c>
      <c r="AS35" s="403">
        <v>3059.2999999999997</v>
      </c>
      <c r="AT35" s="404">
        <v>0.61043000000000003</v>
      </c>
      <c r="AU35" s="403">
        <v>3059.2999999999997</v>
      </c>
      <c r="AV35" s="404">
        <v>0.61043000000000003</v>
      </c>
      <c r="AW35" s="405">
        <v>3.3968799114227299</v>
      </c>
      <c r="AX35" s="406">
        <v>0.75527199078351304</v>
      </c>
      <c r="AY35" s="407">
        <v>-1.00493002682924</v>
      </c>
      <c r="AZ35" s="405">
        <v>3.3968799114227299</v>
      </c>
      <c r="BA35" s="406">
        <v>0.75527199078351304</v>
      </c>
      <c r="BB35" s="407">
        <v>-1.00493002682924</v>
      </c>
      <c r="BC35" s="408">
        <v>1.1103000000000001</v>
      </c>
      <c r="BD35" s="408">
        <v>1.2373000000000001</v>
      </c>
      <c r="BE35" s="409">
        <v>-3.2848E-3</v>
      </c>
    </row>
    <row r="36" spans="2:57" ht="14.4">
      <c r="B36" s="353" t="s">
        <v>162</v>
      </c>
      <c r="C36" s="354" t="s">
        <v>237</v>
      </c>
      <c r="D36" s="354" t="s">
        <v>181</v>
      </c>
      <c r="E36" s="354" t="s">
        <v>120</v>
      </c>
      <c r="F36" s="354" t="s">
        <v>321</v>
      </c>
      <c r="G36" s="355">
        <v>541</v>
      </c>
      <c r="H36" s="356">
        <v>4.3999999999999997E-2</v>
      </c>
      <c r="I36" s="355">
        <v>541</v>
      </c>
      <c r="J36" s="356">
        <v>4.3999999999999997E-2</v>
      </c>
      <c r="K36" s="331">
        <v>0.558000028133392</v>
      </c>
      <c r="L36" s="331">
        <v>6.1200000345706898E-2</v>
      </c>
      <c r="M36" s="410">
        <v>-1.37999998405576</v>
      </c>
      <c r="N36" s="331">
        <v>0.558000028133392</v>
      </c>
      <c r="O36" s="331">
        <v>6.1200000345706898E-2</v>
      </c>
      <c r="P36" s="410">
        <v>-1.37999998405576</v>
      </c>
      <c r="Q36" s="358">
        <v>1.0314000000000001</v>
      </c>
      <c r="R36" s="358">
        <v>1.3909</v>
      </c>
      <c r="S36" s="359">
        <v>-2.5507999999999999E-2</v>
      </c>
      <c r="U36" s="360" t="s">
        <v>162</v>
      </c>
      <c r="V36" s="361" t="s">
        <v>16</v>
      </c>
      <c r="W36" s="361" t="s">
        <v>181</v>
      </c>
      <c r="X36" s="361" t="s">
        <v>120</v>
      </c>
      <c r="Y36" s="361" t="s">
        <v>321</v>
      </c>
      <c r="Z36" s="362">
        <v>541</v>
      </c>
      <c r="AA36" s="363">
        <v>4.3999999999999997E-2</v>
      </c>
      <c r="AB36" s="362">
        <v>541</v>
      </c>
      <c r="AC36" s="363">
        <v>4.3999999999999997E-2</v>
      </c>
      <c r="AD36" s="340">
        <v>0.57899999618530296</v>
      </c>
      <c r="AE36" s="340">
        <v>6.1799997638445292E-2</v>
      </c>
      <c r="AF36" s="411">
        <v>-1.1400000192224999</v>
      </c>
      <c r="AG36" s="340">
        <v>0.57899999618530296</v>
      </c>
      <c r="AH36" s="340">
        <v>6.1799997638445292E-2</v>
      </c>
      <c r="AI36" s="411">
        <v>-1.1400000192224999</v>
      </c>
      <c r="AJ36" s="365">
        <v>1.0702</v>
      </c>
      <c r="AK36" s="365">
        <v>1.4045000000000001</v>
      </c>
      <c r="AL36" s="366">
        <v>-2.1072E-2</v>
      </c>
      <c r="AN36" s="367" t="s">
        <v>162</v>
      </c>
      <c r="AO36" s="368" t="s">
        <v>324</v>
      </c>
      <c r="AP36" s="368" t="s">
        <v>181</v>
      </c>
      <c r="AQ36" s="368" t="s">
        <v>120</v>
      </c>
      <c r="AR36" s="368" t="s">
        <v>321</v>
      </c>
      <c r="AS36" s="369">
        <v>541</v>
      </c>
      <c r="AT36" s="370">
        <v>4.5000000000000005E-2</v>
      </c>
      <c r="AU36" s="369">
        <v>541</v>
      </c>
      <c r="AV36" s="370">
        <v>4.5000000000000005E-2</v>
      </c>
      <c r="AW36" s="349">
        <v>0.55699998140335105</v>
      </c>
      <c r="AX36" s="349">
        <v>5.8599998737918199E-2</v>
      </c>
      <c r="AY36" s="412">
        <v>-1.09999999403954</v>
      </c>
      <c r="AZ36" s="349">
        <v>0.55699998140335105</v>
      </c>
      <c r="BA36" s="349">
        <v>5.8599998737918199E-2</v>
      </c>
      <c r="BB36" s="412">
        <v>-1.09999999403954</v>
      </c>
      <c r="BC36" s="372">
        <v>1.0296000000000001</v>
      </c>
      <c r="BD36" s="372">
        <v>1.3022</v>
      </c>
      <c r="BE36" s="373">
        <v>-2.0333E-2</v>
      </c>
    </row>
    <row r="37" spans="2:57" ht="14.4">
      <c r="B37" s="353" t="s">
        <v>162</v>
      </c>
      <c r="C37" s="354" t="s">
        <v>237</v>
      </c>
      <c r="D37" s="354" t="s">
        <v>181</v>
      </c>
      <c r="E37" s="354" t="s">
        <v>119</v>
      </c>
      <c r="F37" s="354" t="s">
        <v>321</v>
      </c>
      <c r="G37" s="355">
        <v>541</v>
      </c>
      <c r="H37" s="356">
        <v>4.3999999999999997E-2</v>
      </c>
      <c r="I37" s="355">
        <v>541</v>
      </c>
      <c r="J37" s="356">
        <v>4.3999999999999997E-2</v>
      </c>
      <c r="K37" s="331">
        <v>0.53500002622604403</v>
      </c>
      <c r="L37" s="331">
        <v>5.3600000683218199E-2</v>
      </c>
      <c r="M37" s="357">
        <v>-1.15000000223517</v>
      </c>
      <c r="N37" s="331">
        <v>0.53500002622604403</v>
      </c>
      <c r="O37" s="331">
        <v>5.3600000683218199E-2</v>
      </c>
      <c r="P37" s="357">
        <v>-1.15000000223517</v>
      </c>
      <c r="Q37" s="358">
        <v>0.98890999999999996</v>
      </c>
      <c r="R37" s="358">
        <v>1.2181999999999999</v>
      </c>
      <c r="S37" s="359">
        <v>-2.1257000000000002E-2</v>
      </c>
      <c r="U37" s="360" t="s">
        <v>162</v>
      </c>
      <c r="V37" s="361" t="s">
        <v>16</v>
      </c>
      <c r="W37" s="361" t="s">
        <v>181</v>
      </c>
      <c r="X37" s="361" t="s">
        <v>119</v>
      </c>
      <c r="Y37" s="361" t="s">
        <v>321</v>
      </c>
      <c r="Z37" s="362">
        <v>541</v>
      </c>
      <c r="AA37" s="363">
        <v>4.5000000000000005E-2</v>
      </c>
      <c r="AB37" s="362">
        <v>541</v>
      </c>
      <c r="AC37" s="363">
        <v>4.5000000000000005E-2</v>
      </c>
      <c r="AD37" s="340">
        <v>0.57099997997283902</v>
      </c>
      <c r="AE37" s="340">
        <v>5.80999985686503E-2</v>
      </c>
      <c r="AF37" s="364">
        <v>-0.80199996009468999</v>
      </c>
      <c r="AG37" s="340">
        <v>0.57099997997283902</v>
      </c>
      <c r="AH37" s="340">
        <v>5.80999985686503E-2</v>
      </c>
      <c r="AI37" s="364">
        <v>-0.80199996009468999</v>
      </c>
      <c r="AJ37" s="365">
        <v>1.0555000000000001</v>
      </c>
      <c r="AK37" s="365">
        <v>1.2910999999999999</v>
      </c>
      <c r="AL37" s="366">
        <v>-1.4824E-2</v>
      </c>
      <c r="AN37" s="367" t="s">
        <v>162</v>
      </c>
      <c r="AO37" s="368" t="s">
        <v>324</v>
      </c>
      <c r="AP37" s="368" t="s">
        <v>181</v>
      </c>
      <c r="AQ37" s="368" t="s">
        <v>119</v>
      </c>
      <c r="AR37" s="368" t="s">
        <v>321</v>
      </c>
      <c r="AS37" s="369">
        <v>541</v>
      </c>
      <c r="AT37" s="370">
        <v>4.5999999999999999E-2</v>
      </c>
      <c r="AU37" s="369">
        <v>541</v>
      </c>
      <c r="AV37" s="370">
        <v>4.5999999999999999E-2</v>
      </c>
      <c r="AW37" s="349">
        <v>0.55699998140335105</v>
      </c>
      <c r="AX37" s="349">
        <v>5.5500000598840402E-2</v>
      </c>
      <c r="AY37" s="371">
        <v>-0.65999999642372098</v>
      </c>
      <c r="AZ37" s="349">
        <v>0.55699998140335105</v>
      </c>
      <c r="BA37" s="349">
        <v>5.5500000598840402E-2</v>
      </c>
      <c r="BB37" s="371">
        <v>-0.65999999642372098</v>
      </c>
      <c r="BC37" s="372">
        <v>1.0296000000000001</v>
      </c>
      <c r="BD37" s="372">
        <v>1.2064999999999999</v>
      </c>
      <c r="BE37" s="373">
        <v>-1.2200000000000001E-2</v>
      </c>
    </row>
    <row r="38" spans="2:57" ht="14.4">
      <c r="B38" s="353" t="s">
        <v>162</v>
      </c>
      <c r="C38" s="354" t="s">
        <v>237</v>
      </c>
      <c r="D38" s="354" t="s">
        <v>181</v>
      </c>
      <c r="E38" s="354" t="s">
        <v>205</v>
      </c>
      <c r="F38" s="354" t="s">
        <v>321</v>
      </c>
      <c r="G38" s="355">
        <v>541</v>
      </c>
      <c r="H38" s="356">
        <v>4.3999999999999997E-2</v>
      </c>
      <c r="I38" s="355">
        <v>541</v>
      </c>
      <c r="J38" s="356">
        <v>4.3999999999999997E-2</v>
      </c>
      <c r="K38" s="331">
        <v>0.60600000619888295</v>
      </c>
      <c r="L38" s="331">
        <v>7.1800001023802906E-2</v>
      </c>
      <c r="M38" s="357">
        <v>-1.11999996006489</v>
      </c>
      <c r="N38" s="331">
        <v>0.60600000619888295</v>
      </c>
      <c r="O38" s="331">
        <v>7.1800001023802906E-2</v>
      </c>
      <c r="P38" s="357">
        <v>-1.11999996006489</v>
      </c>
      <c r="Q38" s="358">
        <v>1.1201000000000001</v>
      </c>
      <c r="R38" s="358">
        <v>1.6317999999999999</v>
      </c>
      <c r="S38" s="359">
        <v>-2.0702000000000002E-2</v>
      </c>
      <c r="U38" s="360" t="s">
        <v>162</v>
      </c>
      <c r="V38" s="361" t="s">
        <v>16</v>
      </c>
      <c r="W38" s="361" t="s">
        <v>181</v>
      </c>
      <c r="X38" s="361" t="s">
        <v>205</v>
      </c>
      <c r="Y38" s="361" t="s">
        <v>321</v>
      </c>
      <c r="Z38" s="362">
        <v>541</v>
      </c>
      <c r="AA38" s="363">
        <v>4.3999999999999997E-2</v>
      </c>
      <c r="AB38" s="362">
        <v>541</v>
      </c>
      <c r="AC38" s="363">
        <v>4.3999999999999997E-2</v>
      </c>
      <c r="AD38" s="340">
        <v>0.62800002098083496</v>
      </c>
      <c r="AE38" s="340">
        <v>7.1100002969615203E-2</v>
      </c>
      <c r="AF38" s="364">
        <v>-0.94600003212690409</v>
      </c>
      <c r="AG38" s="340">
        <v>0.62800002098083496</v>
      </c>
      <c r="AH38" s="340">
        <v>7.1100002969615203E-2</v>
      </c>
      <c r="AI38" s="364">
        <v>-0.94600003212690409</v>
      </c>
      <c r="AJ38" s="365">
        <v>1.1608000000000001</v>
      </c>
      <c r="AK38" s="365">
        <v>1.6158999999999999</v>
      </c>
      <c r="AL38" s="366">
        <v>-1.7486000000000002E-2</v>
      </c>
      <c r="AN38" s="367" t="s">
        <v>162</v>
      </c>
      <c r="AO38" s="368" t="s">
        <v>324</v>
      </c>
      <c r="AP38" s="368" t="s">
        <v>181</v>
      </c>
      <c r="AQ38" s="368" t="s">
        <v>205</v>
      </c>
      <c r="AR38" s="368" t="s">
        <v>321</v>
      </c>
      <c r="AS38" s="369">
        <v>541</v>
      </c>
      <c r="AT38" s="370">
        <v>4.5000000000000005E-2</v>
      </c>
      <c r="AU38" s="369">
        <v>541</v>
      </c>
      <c r="AV38" s="370">
        <v>4.5000000000000005E-2</v>
      </c>
      <c r="AW38" s="349">
        <v>0.59200000762939498</v>
      </c>
      <c r="AX38" s="349">
        <v>6.2500002968590707E-2</v>
      </c>
      <c r="AY38" s="371">
        <v>-0.86500002071261406</v>
      </c>
      <c r="AZ38" s="349">
        <v>0.59200000762939498</v>
      </c>
      <c r="BA38" s="349">
        <v>6.2500002968590707E-2</v>
      </c>
      <c r="BB38" s="371">
        <v>-0.86500002071261406</v>
      </c>
      <c r="BC38" s="372">
        <v>1.0943000000000001</v>
      </c>
      <c r="BD38" s="372">
        <v>1.3889</v>
      </c>
      <c r="BE38" s="373">
        <v>-1.5989E-2</v>
      </c>
    </row>
    <row r="39" spans="2:57" ht="15" thickBot="1">
      <c r="B39" s="413" t="s">
        <v>162</v>
      </c>
      <c r="C39" s="414" t="s">
        <v>237</v>
      </c>
      <c r="D39" s="414" t="s">
        <v>181</v>
      </c>
      <c r="E39" s="415" t="s">
        <v>206</v>
      </c>
      <c r="F39" s="414" t="s">
        <v>321</v>
      </c>
      <c r="G39" s="416">
        <v>541</v>
      </c>
      <c r="H39" s="417">
        <v>4.3999999999999997E-2</v>
      </c>
      <c r="I39" s="416">
        <v>541</v>
      </c>
      <c r="J39" s="417">
        <v>4.3999999999999997E-2</v>
      </c>
      <c r="K39" s="418">
        <v>0.55326801538467396</v>
      </c>
      <c r="L39" s="418">
        <v>5.9389698435552397E-2</v>
      </c>
      <c r="M39" s="419">
        <v>-1.2980000115930999</v>
      </c>
      <c r="N39" s="418">
        <v>0.55326801538467396</v>
      </c>
      <c r="O39" s="418">
        <v>5.9389698435552397E-2</v>
      </c>
      <c r="P39" s="419">
        <v>-1.2980000115930999</v>
      </c>
      <c r="Q39" s="420">
        <v>1.0226999999999999</v>
      </c>
      <c r="R39" s="420">
        <v>1.3498000000000001</v>
      </c>
      <c r="S39" s="421">
        <v>-2.3993E-2</v>
      </c>
      <c r="U39" s="422" t="s">
        <v>162</v>
      </c>
      <c r="V39" s="423" t="s">
        <v>16</v>
      </c>
      <c r="W39" s="423" t="s">
        <v>181</v>
      </c>
      <c r="X39" s="424" t="s">
        <v>206</v>
      </c>
      <c r="Y39" s="423" t="s">
        <v>321</v>
      </c>
      <c r="Z39" s="425">
        <v>541</v>
      </c>
      <c r="AA39" s="426">
        <v>4.4273E-2</v>
      </c>
      <c r="AB39" s="425">
        <v>541</v>
      </c>
      <c r="AC39" s="426">
        <v>4.4273E-2</v>
      </c>
      <c r="AD39" s="427">
        <v>0.57936698198318504</v>
      </c>
      <c r="AE39" s="427">
        <v>6.1273996834643199E-2</v>
      </c>
      <c r="AF39" s="428">
        <v>-1.0376100428402399</v>
      </c>
      <c r="AG39" s="427">
        <v>0.57936698198318504</v>
      </c>
      <c r="AH39" s="427">
        <v>6.1273996834643199E-2</v>
      </c>
      <c r="AI39" s="428">
        <v>-1.0376100428402399</v>
      </c>
      <c r="AJ39" s="429">
        <v>1.0709</v>
      </c>
      <c r="AK39" s="429">
        <v>1.3839999999999999</v>
      </c>
      <c r="AL39" s="430">
        <v>-1.9179000000000002E-2</v>
      </c>
      <c r="AN39" s="431" t="s">
        <v>162</v>
      </c>
      <c r="AO39" s="432" t="s">
        <v>324</v>
      </c>
      <c r="AP39" s="432" t="s">
        <v>181</v>
      </c>
      <c r="AQ39" s="433" t="s">
        <v>206</v>
      </c>
      <c r="AR39" s="432" t="s">
        <v>321</v>
      </c>
      <c r="AS39" s="434">
        <v>541</v>
      </c>
      <c r="AT39" s="435">
        <v>4.5309000000000002E-2</v>
      </c>
      <c r="AU39" s="434">
        <v>541</v>
      </c>
      <c r="AV39" s="435">
        <v>4.5309000000000002E-2</v>
      </c>
      <c r="AW39" s="436">
        <v>0.55870497226715099</v>
      </c>
      <c r="AX39" s="436">
        <v>5.7831199228530701E-2</v>
      </c>
      <c r="AY39" s="437">
        <v>-0.95247300341725294</v>
      </c>
      <c r="AZ39" s="436">
        <v>0.55870497226715099</v>
      </c>
      <c r="BA39" s="436">
        <v>5.7831199228530701E-2</v>
      </c>
      <c r="BB39" s="437">
        <v>-0.95247300341725294</v>
      </c>
      <c r="BC39" s="438">
        <v>1.0327</v>
      </c>
      <c r="BD39" s="438">
        <v>1.2764</v>
      </c>
      <c r="BE39" s="439">
        <v>-1.7606E-2</v>
      </c>
    </row>
    <row r="42" spans="2:57">
      <c r="B42" s="440"/>
      <c r="C42" s="440"/>
      <c r="D42" s="440"/>
      <c r="E42" s="440"/>
      <c r="F42" s="440"/>
      <c r="G42" s="440"/>
      <c r="H42" s="440"/>
      <c r="I42" s="440"/>
      <c r="J42" s="440"/>
      <c r="K42" s="440"/>
    </row>
    <row r="43" spans="2:57" ht="13.8" thickBot="1">
      <c r="B43" s="441" t="s">
        <v>207</v>
      </c>
      <c r="C43" s="440"/>
      <c r="D43" s="440"/>
      <c r="E43" s="440"/>
      <c r="F43" s="440"/>
      <c r="G43" s="440"/>
      <c r="H43" s="440"/>
      <c r="I43" s="440"/>
      <c r="J43" s="440"/>
      <c r="K43" s="440"/>
    </row>
    <row r="44" spans="2:57">
      <c r="B44" s="442"/>
      <c r="C44" s="796" t="s">
        <v>208</v>
      </c>
      <c r="D44" s="797"/>
      <c r="E44" s="798"/>
      <c r="F44" s="796" t="s">
        <v>209</v>
      </c>
      <c r="G44" s="797"/>
      <c r="H44" s="798"/>
      <c r="I44" s="796" t="s">
        <v>325</v>
      </c>
      <c r="J44" s="797"/>
      <c r="K44" s="798"/>
    </row>
    <row r="45" spans="2:57">
      <c r="B45" s="443" t="s">
        <v>91</v>
      </c>
      <c r="C45" s="444" t="s">
        <v>178</v>
      </c>
      <c r="D45" s="445" t="s">
        <v>177</v>
      </c>
      <c r="E45" s="446" t="s">
        <v>179</v>
      </c>
      <c r="F45" s="444" t="s">
        <v>178</v>
      </c>
      <c r="G45" s="445" t="s">
        <v>177</v>
      </c>
      <c r="H45" s="446" t="s">
        <v>179</v>
      </c>
      <c r="I45" s="444" t="s">
        <v>178</v>
      </c>
      <c r="J45" s="445" t="s">
        <v>177</v>
      </c>
      <c r="K45" s="446" t="s">
        <v>179</v>
      </c>
    </row>
    <row r="46" spans="2:57">
      <c r="B46" s="447" t="s">
        <v>206</v>
      </c>
      <c r="C46" s="448">
        <f>Q39</f>
        <v>1.0226999999999999</v>
      </c>
      <c r="D46" s="448">
        <f t="shared" ref="D46:E46" si="0">R39</f>
        <v>1.3498000000000001</v>
      </c>
      <c r="E46" s="448">
        <f t="shared" si="0"/>
        <v>-2.3993E-2</v>
      </c>
      <c r="F46" s="448">
        <f>AJ39</f>
        <v>1.0709</v>
      </c>
      <c r="G46" s="448">
        <f t="shared" ref="G46:H46" si="1">AK39</f>
        <v>1.3839999999999999</v>
      </c>
      <c r="H46" s="448">
        <f t="shared" si="1"/>
        <v>-1.9179000000000002E-2</v>
      </c>
      <c r="I46" s="449">
        <f>BC39</f>
        <v>1.0327</v>
      </c>
      <c r="J46" s="449">
        <f t="shared" ref="J46:K46" si="2">BD39</f>
        <v>1.2764</v>
      </c>
      <c r="K46" s="449">
        <f t="shared" si="2"/>
        <v>-1.7606E-2</v>
      </c>
    </row>
    <row r="47" spans="2:57" ht="13.8" thickBot="1">
      <c r="B47" s="450" t="s">
        <v>211</v>
      </c>
      <c r="C47" s="451">
        <f>Q26</f>
        <v>1.0572999999999999</v>
      </c>
      <c r="D47" s="451">
        <f t="shared" ref="D47:E47" si="3">R26</f>
        <v>1.2199</v>
      </c>
      <c r="E47" s="451">
        <f t="shared" si="3"/>
        <v>-3.7190999999999999E-3</v>
      </c>
      <c r="F47" s="451">
        <f>AJ26</f>
        <v>1.1355999999999999</v>
      </c>
      <c r="G47" s="451">
        <f t="shared" ref="G47:H47" si="4">AK26</f>
        <v>1.2810999999999999</v>
      </c>
      <c r="H47" s="451">
        <f t="shared" si="4"/>
        <v>-1.7047E-3</v>
      </c>
      <c r="I47" s="451">
        <f>BC26</f>
        <v>1.1476</v>
      </c>
      <c r="J47" s="451">
        <f t="shared" ref="J47:K47" si="5">BD26</f>
        <v>1.2516</v>
      </c>
      <c r="K47" s="451">
        <f t="shared" si="5"/>
        <v>-3.9308000000000002E-4</v>
      </c>
    </row>
    <row r="48" spans="2:57">
      <c r="B48" s="440"/>
      <c r="C48" s="440"/>
      <c r="D48" s="440"/>
      <c r="E48" s="440"/>
      <c r="F48" s="440"/>
      <c r="G48" s="440"/>
      <c r="H48" s="440"/>
      <c r="I48" s="440"/>
      <c r="J48" s="440"/>
      <c r="K48" s="440"/>
    </row>
    <row r="49" spans="1:11" ht="13.8" thickBot="1">
      <c r="B49" s="440"/>
      <c r="C49" s="440"/>
      <c r="D49" s="440"/>
      <c r="E49" s="440"/>
      <c r="F49" s="440"/>
      <c r="G49" s="440"/>
      <c r="H49" s="440"/>
      <c r="I49" s="440"/>
      <c r="J49" s="440"/>
      <c r="K49" s="440"/>
    </row>
    <row r="50" spans="1:11">
      <c r="B50" s="799" t="s">
        <v>91</v>
      </c>
      <c r="C50" s="796" t="s">
        <v>210</v>
      </c>
      <c r="D50" s="797"/>
      <c r="E50" s="798"/>
      <c r="F50" s="440"/>
      <c r="G50" s="440"/>
      <c r="H50" s="440"/>
      <c r="I50" s="440"/>
      <c r="J50" s="440"/>
      <c r="K50" s="440"/>
    </row>
    <row r="51" spans="1:11">
      <c r="B51" s="800"/>
      <c r="C51" s="444" t="s">
        <v>178</v>
      </c>
      <c r="D51" s="445" t="s">
        <v>177</v>
      </c>
      <c r="E51" s="446" t="s">
        <v>179</v>
      </c>
      <c r="F51" s="440"/>
      <c r="G51" s="440"/>
      <c r="H51" s="440"/>
      <c r="I51" s="440"/>
      <c r="J51" s="440"/>
      <c r="K51" s="440"/>
    </row>
    <row r="52" spans="1:11" ht="17.25" customHeight="1">
      <c r="B52" s="447" t="s">
        <v>206</v>
      </c>
      <c r="C52" s="449">
        <f>AVERAGE(C46,F46,I46)</f>
        <v>1.0420999999999998</v>
      </c>
      <c r="D52" s="449">
        <f t="shared" ref="D52:E53" si="6">AVERAGE(D46,G46,J46)</f>
        <v>1.3367333333333333</v>
      </c>
      <c r="E52" s="449">
        <f t="shared" si="6"/>
        <v>-2.0259333333333334E-2</v>
      </c>
      <c r="F52" s="440"/>
      <c r="G52" s="440"/>
      <c r="H52" s="440"/>
      <c r="I52" s="440"/>
      <c r="J52" s="440"/>
      <c r="K52" s="440"/>
    </row>
    <row r="53" spans="1:11" ht="42" customHeight="1" thickBot="1">
      <c r="B53" s="452" t="s">
        <v>326</v>
      </c>
      <c r="C53" s="451">
        <f>AVERAGE(C47,F47,I47)</f>
        <v>1.1134999999999999</v>
      </c>
      <c r="D53" s="451">
        <f t="shared" si="6"/>
        <v>1.2508666666666668</v>
      </c>
      <c r="E53" s="451">
        <f t="shared" si="6"/>
        <v>-1.9389599999999998E-3</v>
      </c>
      <c r="F53" s="440"/>
      <c r="G53" s="440"/>
      <c r="H53" s="440"/>
      <c r="I53" s="440"/>
      <c r="J53" s="440"/>
      <c r="K53" s="440"/>
    </row>
    <row r="54" spans="1:11">
      <c r="B54" s="440"/>
      <c r="C54" s="440"/>
      <c r="D54" s="440"/>
      <c r="E54" s="440"/>
      <c r="F54" s="440"/>
      <c r="G54" s="440"/>
      <c r="H54" s="440"/>
      <c r="I54" s="440"/>
      <c r="J54" s="440"/>
      <c r="K54" s="440"/>
    </row>
    <row r="55" spans="1:11">
      <c r="B55" s="440"/>
      <c r="C55" s="440"/>
      <c r="D55" s="440"/>
      <c r="E55" s="440"/>
      <c r="F55" s="440"/>
      <c r="G55" s="440"/>
      <c r="H55" s="440"/>
      <c r="I55" s="440"/>
      <c r="J55" s="440"/>
      <c r="K55" s="440"/>
    </row>
    <row r="56" spans="1:11">
      <c r="B56" s="453" t="s">
        <v>300</v>
      </c>
      <c r="C56" s="277">
        <f>COLUMN()</f>
        <v>3</v>
      </c>
      <c r="D56" s="277">
        <f>COLUMN()</f>
        <v>4</v>
      </c>
      <c r="E56" s="277">
        <f>COLUMN()</f>
        <v>5</v>
      </c>
      <c r="F56" s="277">
        <f>COLUMN()</f>
        <v>6</v>
      </c>
      <c r="G56" s="277">
        <f>COLUMN()</f>
        <v>7</v>
      </c>
      <c r="H56" s="277">
        <f>COLUMN()</f>
        <v>8</v>
      </c>
    </row>
    <row r="57" spans="1:11">
      <c r="B57" s="454"/>
      <c r="C57" s="801" t="s">
        <v>206</v>
      </c>
      <c r="D57" s="801"/>
      <c r="E57" s="801"/>
      <c r="F57" s="801" t="s">
        <v>211</v>
      </c>
      <c r="G57" s="801"/>
      <c r="H57" s="801"/>
    </row>
    <row r="58" spans="1:11">
      <c r="B58" s="454"/>
      <c r="C58" s="455" t="s">
        <v>178</v>
      </c>
      <c r="D58" s="455" t="s">
        <v>177</v>
      </c>
      <c r="E58" s="455" t="s">
        <v>179</v>
      </c>
      <c r="F58" s="455" t="s">
        <v>178</v>
      </c>
      <c r="G58" s="455" t="s">
        <v>177</v>
      </c>
      <c r="H58" s="455" t="s">
        <v>179</v>
      </c>
    </row>
    <row r="59" spans="1:11">
      <c r="A59" s="277" t="s">
        <v>237</v>
      </c>
      <c r="B59" s="455" t="s">
        <v>14</v>
      </c>
      <c r="C59" s="454">
        <f>C46</f>
        <v>1.0226999999999999</v>
      </c>
      <c r="D59" s="454">
        <f t="shared" ref="D59:E59" si="7">D46</f>
        <v>1.3498000000000001</v>
      </c>
      <c r="E59" s="454">
        <f t="shared" si="7"/>
        <v>-2.3993E-2</v>
      </c>
      <c r="F59" s="454">
        <f>C47</f>
        <v>1.0572999999999999</v>
      </c>
      <c r="G59" s="454">
        <f t="shared" ref="G59:H59" si="8">D47</f>
        <v>1.2199</v>
      </c>
      <c r="H59" s="454">
        <f t="shared" si="8"/>
        <v>-3.7190999999999999E-3</v>
      </c>
    </row>
    <row r="60" spans="1:11">
      <c r="A60" s="277" t="s">
        <v>16</v>
      </c>
      <c r="B60" s="455" t="s">
        <v>16</v>
      </c>
      <c r="C60" s="454">
        <f>F46</f>
        <v>1.0709</v>
      </c>
      <c r="D60" s="454">
        <f t="shared" ref="D60:E60" si="9">G46</f>
        <v>1.3839999999999999</v>
      </c>
      <c r="E60" s="454">
        <f t="shared" si="9"/>
        <v>-1.9179000000000002E-2</v>
      </c>
      <c r="F60" s="454">
        <f>F47</f>
        <v>1.1355999999999999</v>
      </c>
      <c r="G60" s="454">
        <f t="shared" ref="G60:H60" si="10">G47</f>
        <v>1.2810999999999999</v>
      </c>
      <c r="H60" s="454">
        <f t="shared" si="10"/>
        <v>-1.7047E-3</v>
      </c>
    </row>
    <row r="61" spans="1:11">
      <c r="A61" s="277" t="s">
        <v>301</v>
      </c>
      <c r="B61" s="455" t="s">
        <v>301</v>
      </c>
      <c r="C61" s="454">
        <f>F46</f>
        <v>1.0709</v>
      </c>
      <c r="D61" s="454">
        <f t="shared" ref="D61:E61" si="11">G46</f>
        <v>1.3839999999999999</v>
      </c>
      <c r="E61" s="454">
        <f t="shared" si="11"/>
        <v>-1.9179000000000002E-2</v>
      </c>
      <c r="F61" s="454">
        <f>F47</f>
        <v>1.1355999999999999</v>
      </c>
      <c r="G61" s="454">
        <f t="shared" ref="G61:H61" si="12">G47</f>
        <v>1.2810999999999999</v>
      </c>
      <c r="H61" s="454">
        <f t="shared" si="12"/>
        <v>-1.7047E-3</v>
      </c>
    </row>
    <row r="62" spans="1:11">
      <c r="A62" s="277" t="s">
        <v>395</v>
      </c>
      <c r="B62" s="455" t="s">
        <v>15</v>
      </c>
      <c r="C62" s="456">
        <f>I46</f>
        <v>1.0327</v>
      </c>
      <c r="D62" s="456">
        <f t="shared" ref="D62:E62" si="13">J46</f>
        <v>1.2764</v>
      </c>
      <c r="E62" s="456">
        <f t="shared" si="13"/>
        <v>-1.7606E-2</v>
      </c>
      <c r="F62" s="454">
        <f>I47</f>
        <v>1.1476</v>
      </c>
      <c r="G62" s="454">
        <f t="shared" ref="G62:H62" si="14">J47</f>
        <v>1.2516</v>
      </c>
      <c r="H62" s="454">
        <f t="shared" si="14"/>
        <v>-3.9308000000000002E-4</v>
      </c>
    </row>
  </sheetData>
  <mergeCells count="28">
    <mergeCell ref="AS9:AT9"/>
    <mergeCell ref="B9:F9"/>
    <mergeCell ref="G9:H9"/>
    <mergeCell ref="I9:J9"/>
    <mergeCell ref="K9:P9"/>
    <mergeCell ref="Q9:S9"/>
    <mergeCell ref="U9:Y9"/>
    <mergeCell ref="C57:E57"/>
    <mergeCell ref="F57:H57"/>
    <mergeCell ref="AU9:AV9"/>
    <mergeCell ref="AW9:BB9"/>
    <mergeCell ref="BC9:BE9"/>
    <mergeCell ref="K10:M10"/>
    <mergeCell ref="N10:P10"/>
    <mergeCell ref="AD10:AF10"/>
    <mergeCell ref="AG10:AI10"/>
    <mergeCell ref="AW10:AY10"/>
    <mergeCell ref="AZ10:BB10"/>
    <mergeCell ref="Z9:AA9"/>
    <mergeCell ref="AB9:AC9"/>
    <mergeCell ref="AD9:AI9"/>
    <mergeCell ref="AJ9:AL9"/>
    <mergeCell ref="AN9:AR9"/>
    <mergeCell ref="C44:E44"/>
    <mergeCell ref="F44:H44"/>
    <mergeCell ref="I44:K44"/>
    <mergeCell ref="B50:B51"/>
    <mergeCell ref="C50:E5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"/>
  <sheetViews>
    <sheetView workbookViewId="0">
      <selection activeCell="I9" sqref="I9"/>
    </sheetView>
  </sheetViews>
  <sheetFormatPr defaultRowHeight="14.4"/>
  <sheetData>
    <row r="2" spans="1:5" s="10" customFormat="1" ht="15" thickBot="1">
      <c r="A2" s="10" t="s">
        <v>13</v>
      </c>
    </row>
    <row r="3" spans="1:5" ht="15" thickBot="1">
      <c r="A3" s="11" t="s">
        <v>8</v>
      </c>
      <c r="B3" s="12"/>
      <c r="C3" s="12" t="s">
        <v>9</v>
      </c>
      <c r="D3" s="19"/>
    </row>
    <row r="4" spans="1:5">
      <c r="A4" s="13" t="s">
        <v>10</v>
      </c>
      <c r="B4" s="14"/>
      <c r="C4" s="80">
        <v>295</v>
      </c>
      <c r="D4" s="15"/>
      <c r="E4" t="s">
        <v>12</v>
      </c>
    </row>
    <row r="5" spans="1:5" ht="15" thickBot="1">
      <c r="A5" s="16" t="s">
        <v>11</v>
      </c>
      <c r="B5" s="17"/>
      <c r="C5" s="95">
        <v>1095</v>
      </c>
      <c r="D5" s="18"/>
      <c r="E5" t="s">
        <v>330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83"/>
  <sheetViews>
    <sheetView topLeftCell="A19" workbookViewId="0">
      <selection activeCell="C9" sqref="C9:J9"/>
    </sheetView>
  </sheetViews>
  <sheetFormatPr defaultColWidth="9.109375" defaultRowHeight="13.2"/>
  <cols>
    <col min="1" max="1" width="2.88671875" style="178" customWidth="1"/>
    <col min="2" max="2" width="10" style="178" customWidth="1"/>
    <col min="3" max="3" width="9.6640625" style="178" customWidth="1"/>
    <col min="4" max="4" width="10.5546875" style="178" customWidth="1"/>
    <col min="5" max="6" width="11.44140625" style="178" customWidth="1"/>
    <col min="7" max="7" width="12" style="178" customWidth="1"/>
    <col min="8" max="8" width="11.33203125" style="178" customWidth="1"/>
    <col min="9" max="9" width="9.109375" style="178"/>
    <col min="10" max="10" width="10.88671875" style="178" customWidth="1"/>
    <col min="11" max="13" width="9.109375" style="178"/>
    <col min="14" max="14" width="10.44140625" style="178" customWidth="1"/>
    <col min="15" max="15" width="12.5546875" style="178" customWidth="1"/>
    <col min="16" max="16" width="9.109375" style="178"/>
    <col min="17" max="17" width="10.88671875" style="178" customWidth="1"/>
    <col min="18" max="18" width="11" style="178" customWidth="1"/>
    <col min="19" max="19" width="11.44140625" style="178" customWidth="1"/>
    <col min="20" max="20" width="10.5546875" style="178" customWidth="1"/>
    <col min="21" max="16384" width="9.109375" style="178"/>
  </cols>
  <sheetData>
    <row r="2" spans="3:20">
      <c r="C2" s="88" t="s">
        <v>241</v>
      </c>
      <c r="D2" s="89"/>
      <c r="E2" s="89"/>
      <c r="F2" s="89"/>
      <c r="G2" s="89"/>
      <c r="H2" s="89"/>
      <c r="I2" s="89"/>
      <c r="J2" s="89"/>
    </row>
    <row r="4" spans="3:20" ht="12.75" customHeight="1">
      <c r="C4" s="839" t="s">
        <v>242</v>
      </c>
      <c r="D4" s="839"/>
      <c r="E4" s="839"/>
      <c r="F4" s="839"/>
      <c r="G4" s="839"/>
      <c r="H4" s="839"/>
      <c r="I4" s="839"/>
      <c r="J4" s="839"/>
      <c r="M4" s="839" t="s">
        <v>242</v>
      </c>
      <c r="N4" s="839"/>
      <c r="O4" s="839"/>
      <c r="P4" s="839"/>
      <c r="Q4" s="839"/>
      <c r="R4" s="839"/>
      <c r="S4" s="839"/>
      <c r="T4" s="839"/>
    </row>
    <row r="5" spans="3:20" ht="12.75" customHeight="1">
      <c r="C5" s="839" t="s">
        <v>243</v>
      </c>
      <c r="D5" s="839"/>
      <c r="E5" s="839"/>
      <c r="F5" s="839"/>
      <c r="G5" s="839"/>
      <c r="H5" s="839"/>
      <c r="I5" s="839"/>
      <c r="J5" s="839"/>
      <c r="M5" s="839" t="s">
        <v>243</v>
      </c>
      <c r="N5" s="839"/>
      <c r="O5" s="839"/>
      <c r="P5" s="839"/>
      <c r="Q5" s="839"/>
      <c r="R5" s="839"/>
      <c r="S5" s="839"/>
      <c r="T5" s="839"/>
    </row>
    <row r="6" spans="3:20" ht="12.75" customHeight="1">
      <c r="C6" s="839" t="s">
        <v>244</v>
      </c>
      <c r="D6" s="839"/>
      <c r="E6" s="839"/>
      <c r="F6" s="839"/>
      <c r="G6" s="839"/>
      <c r="H6" s="839"/>
      <c r="I6" s="839"/>
      <c r="J6" s="839"/>
      <c r="M6" s="839" t="s">
        <v>244</v>
      </c>
      <c r="N6" s="839"/>
      <c r="O6" s="839"/>
      <c r="P6" s="839"/>
      <c r="Q6" s="839"/>
      <c r="R6" s="839"/>
      <c r="S6" s="839"/>
      <c r="T6" s="839"/>
    </row>
    <row r="7" spans="3:20" ht="12.75" customHeight="1">
      <c r="C7" s="839" t="s">
        <v>245</v>
      </c>
      <c r="D7" s="839"/>
      <c r="E7" s="839"/>
      <c r="F7" s="839"/>
      <c r="G7" s="839"/>
      <c r="H7" s="839"/>
      <c r="I7" s="839"/>
      <c r="J7" s="839"/>
      <c r="M7" s="839" t="s">
        <v>245</v>
      </c>
      <c r="N7" s="839"/>
      <c r="O7" s="839"/>
      <c r="P7" s="839"/>
      <c r="Q7" s="839"/>
      <c r="R7" s="839"/>
      <c r="S7" s="839"/>
      <c r="T7" s="839"/>
    </row>
    <row r="8" spans="3:20" ht="12.75" customHeight="1">
      <c r="C8" s="839" t="s">
        <v>246</v>
      </c>
      <c r="D8" s="839"/>
      <c r="E8" s="839"/>
      <c r="F8" s="839"/>
      <c r="G8" s="839"/>
      <c r="H8" s="839"/>
      <c r="I8" s="839"/>
      <c r="J8" s="839"/>
      <c r="M8" s="839" t="s">
        <v>246</v>
      </c>
      <c r="N8" s="839"/>
      <c r="O8" s="839"/>
      <c r="P8" s="839"/>
      <c r="Q8" s="839"/>
      <c r="R8" s="839"/>
      <c r="S8" s="839"/>
      <c r="T8" s="839"/>
    </row>
    <row r="9" spans="3:20" ht="12.75" customHeight="1">
      <c r="C9" s="839" t="s">
        <v>247</v>
      </c>
      <c r="D9" s="839"/>
      <c r="E9" s="839"/>
      <c r="F9" s="839"/>
      <c r="G9" s="839"/>
      <c r="H9" s="839"/>
      <c r="I9" s="839"/>
      <c r="J9" s="839"/>
      <c r="M9" s="839" t="s">
        <v>248</v>
      </c>
      <c r="N9" s="839"/>
      <c r="O9" s="839"/>
      <c r="P9" s="839"/>
      <c r="Q9" s="839"/>
      <c r="R9" s="839"/>
      <c r="S9" s="839"/>
      <c r="T9" s="839"/>
    </row>
    <row r="10" spans="3:20">
      <c r="C10" s="836"/>
      <c r="D10" s="836"/>
      <c r="E10" s="836"/>
      <c r="F10" s="836"/>
      <c r="G10" s="836"/>
      <c r="H10" s="836"/>
      <c r="I10" s="836"/>
      <c r="J10" s="836"/>
      <c r="M10" s="836"/>
      <c r="N10" s="836"/>
      <c r="O10" s="836"/>
      <c r="P10" s="836"/>
      <c r="Q10" s="836"/>
      <c r="R10" s="836"/>
      <c r="S10" s="836"/>
      <c r="T10" s="836"/>
    </row>
    <row r="11" spans="3:20">
      <c r="C11" s="836"/>
      <c r="D11" s="836"/>
      <c r="E11" s="836"/>
      <c r="F11" s="836"/>
      <c r="G11" s="836"/>
      <c r="H11" s="836"/>
      <c r="I11" s="836"/>
      <c r="J11" s="836"/>
      <c r="M11" s="836"/>
      <c r="N11" s="836"/>
      <c r="O11" s="836"/>
      <c r="P11" s="836"/>
      <c r="Q11" s="836"/>
      <c r="R11" s="836"/>
      <c r="S11" s="836"/>
      <c r="T11" s="836"/>
    </row>
    <row r="12" spans="3:20" ht="12.75" customHeight="1">
      <c r="C12" s="838" t="s">
        <v>249</v>
      </c>
      <c r="D12" s="838"/>
      <c r="E12" s="838"/>
      <c r="F12" s="838"/>
      <c r="G12" s="838"/>
      <c r="H12" s="838"/>
      <c r="I12" s="838"/>
      <c r="J12" s="838"/>
      <c r="M12" s="838" t="s">
        <v>250</v>
      </c>
      <c r="N12" s="838"/>
      <c r="O12" s="838"/>
      <c r="P12" s="838"/>
      <c r="Q12" s="838"/>
      <c r="R12" s="838"/>
      <c r="S12" s="838"/>
      <c r="T12" s="838"/>
    </row>
    <row r="13" spans="3:20" ht="12.75" customHeight="1">
      <c r="C13" s="838" t="s">
        <v>67</v>
      </c>
      <c r="D13" s="838"/>
      <c r="E13" s="838"/>
      <c r="F13" s="838"/>
      <c r="G13" s="838"/>
      <c r="H13" s="838"/>
      <c r="I13" s="838"/>
      <c r="J13" s="838"/>
      <c r="M13" s="838" t="s">
        <v>67</v>
      </c>
      <c r="N13" s="838"/>
      <c r="O13" s="838"/>
      <c r="P13" s="838"/>
      <c r="Q13" s="838"/>
      <c r="R13" s="838"/>
      <c r="S13" s="838"/>
      <c r="T13" s="838"/>
    </row>
    <row r="14" spans="3:20">
      <c r="C14" s="836"/>
      <c r="D14" s="836"/>
      <c r="E14" s="836"/>
      <c r="F14" s="836"/>
      <c r="G14" s="836"/>
      <c r="H14" s="836"/>
      <c r="I14" s="836"/>
      <c r="J14" s="836"/>
      <c r="M14" s="836"/>
      <c r="N14" s="836"/>
      <c r="O14" s="836"/>
      <c r="P14" s="836"/>
      <c r="Q14" s="836"/>
      <c r="R14" s="836"/>
      <c r="S14" s="836"/>
      <c r="T14" s="836"/>
    </row>
    <row r="15" spans="3:20">
      <c r="C15" s="837"/>
      <c r="D15" s="837"/>
      <c r="E15" s="837"/>
      <c r="F15" s="837"/>
      <c r="G15" s="837"/>
      <c r="H15" s="837"/>
      <c r="I15" s="837"/>
      <c r="J15" s="837"/>
      <c r="M15" s="837"/>
      <c r="N15" s="837"/>
      <c r="O15" s="837"/>
      <c r="P15" s="837"/>
      <c r="Q15" s="837"/>
      <c r="R15" s="837"/>
      <c r="S15" s="837"/>
      <c r="T15" s="837"/>
    </row>
    <row r="16" spans="3:20" ht="12.75" customHeight="1">
      <c r="C16" s="837" t="s">
        <v>251</v>
      </c>
      <c r="D16" s="837"/>
      <c r="E16" s="837"/>
      <c r="F16" s="837"/>
      <c r="G16" s="837"/>
      <c r="H16" s="837"/>
      <c r="I16" s="837"/>
      <c r="J16" s="837"/>
      <c r="M16" s="837" t="s">
        <v>251</v>
      </c>
      <c r="N16" s="837"/>
      <c r="O16" s="837"/>
      <c r="P16" s="837"/>
      <c r="Q16" s="837"/>
      <c r="R16" s="837"/>
      <c r="S16" s="837"/>
      <c r="T16" s="837"/>
    </row>
    <row r="17" spans="3:20">
      <c r="C17" s="835"/>
      <c r="D17" s="835"/>
      <c r="E17" s="835"/>
      <c r="F17" s="835"/>
      <c r="G17" s="835"/>
      <c r="H17" s="835"/>
      <c r="I17" s="835"/>
      <c r="J17" s="835"/>
      <c r="M17" s="835"/>
      <c r="N17" s="835"/>
      <c r="O17" s="835"/>
      <c r="P17" s="835"/>
      <c r="Q17" s="835"/>
      <c r="R17" s="835"/>
      <c r="S17" s="835"/>
      <c r="T17" s="835"/>
    </row>
    <row r="18" spans="3:20" ht="40.200000000000003" thickBot="1">
      <c r="C18" s="238" t="s">
        <v>0</v>
      </c>
      <c r="D18" s="239" t="s">
        <v>68</v>
      </c>
      <c r="E18" s="239" t="s">
        <v>69</v>
      </c>
      <c r="F18" s="239" t="s">
        <v>70</v>
      </c>
      <c r="G18" s="239" t="s">
        <v>71</v>
      </c>
      <c r="H18" s="239" t="s">
        <v>72</v>
      </c>
      <c r="I18" s="239" t="s">
        <v>73</v>
      </c>
      <c r="J18" s="240" t="s">
        <v>1</v>
      </c>
      <c r="M18" s="238" t="s">
        <v>0</v>
      </c>
      <c r="N18" s="239" t="s">
        <v>68</v>
      </c>
      <c r="O18" s="239" t="s">
        <v>69</v>
      </c>
      <c r="P18" s="239" t="s">
        <v>70</v>
      </c>
      <c r="Q18" s="239" t="s">
        <v>71</v>
      </c>
      <c r="R18" s="239" t="s">
        <v>72</v>
      </c>
      <c r="S18" s="239" t="s">
        <v>73</v>
      </c>
      <c r="T18" s="240" t="s">
        <v>1</v>
      </c>
    </row>
    <row r="19" spans="3:20" ht="27" thickBot="1">
      <c r="C19" s="241" t="s">
        <v>2</v>
      </c>
      <c r="D19" s="242">
        <v>471</v>
      </c>
      <c r="E19" s="243">
        <v>1787</v>
      </c>
      <c r="F19" s="243">
        <v>2572</v>
      </c>
      <c r="G19" s="244" t="s">
        <v>252</v>
      </c>
      <c r="H19" s="244" t="s">
        <v>253</v>
      </c>
      <c r="I19" s="242">
        <v>499</v>
      </c>
      <c r="J19" s="245">
        <v>5342</v>
      </c>
      <c r="M19" s="241" t="s">
        <v>2</v>
      </c>
      <c r="N19" s="242">
        <v>790</v>
      </c>
      <c r="O19" s="243">
        <v>5443</v>
      </c>
      <c r="P19" s="243">
        <v>1615</v>
      </c>
      <c r="Q19" s="244" t="s">
        <v>254</v>
      </c>
      <c r="R19" s="244" t="s">
        <v>255</v>
      </c>
      <c r="S19" s="243">
        <v>1031</v>
      </c>
      <c r="T19" s="245">
        <v>8917</v>
      </c>
    </row>
    <row r="20" spans="3:20" ht="13.8" thickBot="1">
      <c r="C20" s="241"/>
      <c r="D20" s="246">
        <v>8.7999999999999995E-2</v>
      </c>
      <c r="E20" s="246">
        <v>0.33500000000000002</v>
      </c>
      <c r="F20" s="246">
        <v>0.48099999999999998</v>
      </c>
      <c r="G20" s="244" t="s">
        <v>3</v>
      </c>
      <c r="H20" s="244" t="s">
        <v>74</v>
      </c>
      <c r="I20" s="246">
        <v>9.2999999999999999E-2</v>
      </c>
      <c r="J20" s="247">
        <v>1</v>
      </c>
      <c r="M20" s="241"/>
      <c r="N20" s="246">
        <v>8.8999999999999996E-2</v>
      </c>
      <c r="O20" s="246">
        <v>0.61</v>
      </c>
      <c r="P20" s="246">
        <v>0.18099999999999999</v>
      </c>
      <c r="Q20" s="244" t="s">
        <v>74</v>
      </c>
      <c r="R20" s="244" t="s">
        <v>74</v>
      </c>
      <c r="S20" s="246">
        <v>0.11600000000000001</v>
      </c>
      <c r="T20" s="247">
        <v>1</v>
      </c>
    </row>
    <row r="21" spans="3:20" ht="13.8" thickBot="1">
      <c r="C21" s="241" t="s">
        <v>4</v>
      </c>
      <c r="D21" s="244" t="s">
        <v>256</v>
      </c>
      <c r="E21" s="244">
        <v>10</v>
      </c>
      <c r="F21" s="242">
        <v>73</v>
      </c>
      <c r="G21" s="242"/>
      <c r="H21" s="242"/>
      <c r="I21" s="242">
        <v>38</v>
      </c>
      <c r="J21" s="248">
        <v>136</v>
      </c>
      <c r="M21" s="241" t="s">
        <v>4</v>
      </c>
      <c r="N21" s="242">
        <v>94</v>
      </c>
      <c r="O21" s="242">
        <v>32</v>
      </c>
      <c r="P21" s="242">
        <v>497</v>
      </c>
      <c r="Q21" s="244" t="s">
        <v>257</v>
      </c>
      <c r="R21" s="244" t="s">
        <v>257</v>
      </c>
      <c r="S21" s="242">
        <v>317</v>
      </c>
      <c r="T21" s="248">
        <v>962</v>
      </c>
    </row>
    <row r="22" spans="3:20" ht="13.8" thickBot="1">
      <c r="C22" s="241"/>
      <c r="D22" s="244" t="s">
        <v>258</v>
      </c>
      <c r="E22" s="244" t="s">
        <v>259</v>
      </c>
      <c r="F22" s="246">
        <v>0.53700000000000003</v>
      </c>
      <c r="G22" s="242"/>
      <c r="H22" s="242"/>
      <c r="I22" s="246">
        <v>0.27900000000000003</v>
      </c>
      <c r="J22" s="247">
        <v>1</v>
      </c>
      <c r="M22" s="241"/>
      <c r="N22" s="246">
        <v>9.8000000000000004E-2</v>
      </c>
      <c r="O22" s="246">
        <v>3.3000000000000002E-2</v>
      </c>
      <c r="P22" s="246">
        <v>0.51700000000000002</v>
      </c>
      <c r="Q22" s="244" t="s">
        <v>260</v>
      </c>
      <c r="R22" s="244" t="s">
        <v>260</v>
      </c>
      <c r="S22" s="246">
        <v>0.33</v>
      </c>
      <c r="T22" s="247">
        <v>1</v>
      </c>
    </row>
    <row r="23" spans="3:20" ht="13.8" thickBot="1">
      <c r="C23" s="241" t="s">
        <v>5</v>
      </c>
      <c r="D23" s="244" t="s">
        <v>261</v>
      </c>
      <c r="E23" s="244" t="s">
        <v>262</v>
      </c>
      <c r="F23" s="244" t="s">
        <v>263</v>
      </c>
      <c r="G23" s="244" t="s">
        <v>264</v>
      </c>
      <c r="H23" s="242"/>
      <c r="I23" s="244" t="s">
        <v>265</v>
      </c>
      <c r="J23" s="248">
        <v>27</v>
      </c>
      <c r="M23" s="241" t="s">
        <v>5</v>
      </c>
      <c r="N23" s="242">
        <v>62</v>
      </c>
      <c r="O23" s="244" t="s">
        <v>264</v>
      </c>
      <c r="P23" s="242">
        <v>138</v>
      </c>
      <c r="Q23" s="242">
        <v>179</v>
      </c>
      <c r="R23" s="242"/>
      <c r="S23" s="242">
        <v>48</v>
      </c>
      <c r="T23" s="248">
        <v>432</v>
      </c>
    </row>
    <row r="24" spans="3:20" ht="13.8" thickBot="1">
      <c r="C24" s="241"/>
      <c r="D24" s="244" t="s">
        <v>266</v>
      </c>
      <c r="E24" s="244" t="s">
        <v>259</v>
      </c>
      <c r="F24" s="244" t="s">
        <v>267</v>
      </c>
      <c r="G24" s="244" t="s">
        <v>268</v>
      </c>
      <c r="H24" s="242"/>
      <c r="I24" s="244" t="s">
        <v>269</v>
      </c>
      <c r="J24" s="247">
        <v>1</v>
      </c>
      <c r="M24" s="241"/>
      <c r="N24" s="246">
        <v>0.14399999999999999</v>
      </c>
      <c r="O24" s="244" t="s">
        <v>270</v>
      </c>
      <c r="P24" s="246">
        <v>0.31900000000000001</v>
      </c>
      <c r="Q24" s="246">
        <v>0.41399999999999998</v>
      </c>
      <c r="R24" s="242"/>
      <c r="S24" s="246">
        <v>0.111</v>
      </c>
      <c r="T24" s="247">
        <v>1</v>
      </c>
    </row>
    <row r="25" spans="3:20" ht="13.8" thickBot="1">
      <c r="C25" s="241" t="s">
        <v>6</v>
      </c>
      <c r="D25" s="242"/>
      <c r="E25" s="244" t="s">
        <v>271</v>
      </c>
      <c r="F25" s="244" t="s">
        <v>271</v>
      </c>
      <c r="G25" s="242"/>
      <c r="H25" s="242"/>
      <c r="I25" s="242"/>
      <c r="J25" s="248">
        <v>2</v>
      </c>
      <c r="M25" s="241" t="s">
        <v>6</v>
      </c>
      <c r="N25" s="242"/>
      <c r="O25" s="242"/>
      <c r="P25" s="242"/>
      <c r="Q25" s="242"/>
      <c r="R25" s="242"/>
      <c r="S25" s="244" t="s">
        <v>271</v>
      </c>
      <c r="T25" s="248">
        <v>1</v>
      </c>
    </row>
    <row r="26" spans="3:20" ht="13.8" thickBot="1">
      <c r="C26" s="241"/>
      <c r="D26" s="242"/>
      <c r="E26" s="244" t="s">
        <v>272</v>
      </c>
      <c r="F26" s="244" t="s">
        <v>272</v>
      </c>
      <c r="G26" s="242"/>
      <c r="H26" s="242"/>
      <c r="I26" s="242"/>
      <c r="J26" s="247">
        <v>1</v>
      </c>
      <c r="M26" s="241"/>
      <c r="N26" s="242"/>
      <c r="O26" s="242"/>
      <c r="P26" s="242"/>
      <c r="Q26" s="242"/>
      <c r="R26" s="242"/>
      <c r="S26" s="244" t="s">
        <v>273</v>
      </c>
      <c r="T26" s="247">
        <v>1</v>
      </c>
    </row>
    <row r="27" spans="3:20" ht="13.8" thickBot="1">
      <c r="C27" s="241" t="s">
        <v>7</v>
      </c>
      <c r="D27" s="242"/>
      <c r="E27" s="242"/>
      <c r="F27" s="242"/>
      <c r="G27" s="242"/>
      <c r="H27" s="242"/>
      <c r="I27" s="244" t="s">
        <v>262</v>
      </c>
      <c r="J27" s="248">
        <v>2</v>
      </c>
      <c r="M27" s="241" t="s">
        <v>7</v>
      </c>
      <c r="N27" s="244" t="s">
        <v>271</v>
      </c>
      <c r="O27" s="242"/>
      <c r="P27" s="244" t="s">
        <v>271</v>
      </c>
      <c r="Q27" s="242"/>
      <c r="R27" s="242"/>
      <c r="S27" s="244" t="s">
        <v>274</v>
      </c>
      <c r="T27" s="248">
        <v>8</v>
      </c>
    </row>
    <row r="28" spans="3:20" ht="13.8" thickBot="1">
      <c r="C28" s="241"/>
      <c r="D28" s="242"/>
      <c r="E28" s="242"/>
      <c r="F28" s="242"/>
      <c r="G28" s="242"/>
      <c r="H28" s="242"/>
      <c r="I28" s="244" t="s">
        <v>273</v>
      </c>
      <c r="J28" s="247">
        <v>1</v>
      </c>
      <c r="M28" s="241"/>
      <c r="N28" s="244" t="s">
        <v>275</v>
      </c>
      <c r="O28" s="242"/>
      <c r="P28" s="244" t="s">
        <v>275</v>
      </c>
      <c r="Q28" s="242"/>
      <c r="R28" s="242"/>
      <c r="S28" s="244" t="s">
        <v>276</v>
      </c>
      <c r="T28" s="247">
        <v>1</v>
      </c>
    </row>
    <row r="29" spans="3:20" ht="13.8" thickBot="1">
      <c r="C29" s="249" t="s">
        <v>1</v>
      </c>
      <c r="D29" s="250">
        <v>490</v>
      </c>
      <c r="E29" s="251">
        <v>1800</v>
      </c>
      <c r="F29" s="251">
        <v>2653</v>
      </c>
      <c r="G29" s="250">
        <v>8</v>
      </c>
      <c r="H29" s="250">
        <v>10</v>
      </c>
      <c r="I29" s="250">
        <v>548</v>
      </c>
      <c r="J29" s="252">
        <v>5509</v>
      </c>
      <c r="M29" s="249" t="s">
        <v>1</v>
      </c>
      <c r="N29" s="250">
        <v>947</v>
      </c>
      <c r="O29" s="251">
        <v>5480</v>
      </c>
      <c r="P29" s="251">
        <v>2251</v>
      </c>
      <c r="Q29" s="250">
        <v>207</v>
      </c>
      <c r="R29" s="250">
        <v>32</v>
      </c>
      <c r="S29" s="251">
        <v>1403</v>
      </c>
      <c r="T29" s="252">
        <v>10320</v>
      </c>
    </row>
    <row r="30" spans="3:20">
      <c r="C30" s="253"/>
      <c r="D30" s="254">
        <v>8.8999999999999996E-2</v>
      </c>
      <c r="E30" s="254">
        <v>0.32700000000000001</v>
      </c>
      <c r="F30" s="254">
        <v>0.48199999999999998</v>
      </c>
      <c r="G30" s="254">
        <v>1E-3</v>
      </c>
      <c r="H30" s="254">
        <v>2E-3</v>
      </c>
      <c r="I30" s="254">
        <v>9.9000000000000005E-2</v>
      </c>
      <c r="J30" s="255">
        <v>1</v>
      </c>
      <c r="M30" s="253"/>
      <c r="N30" s="254">
        <v>9.1999999999999998E-2</v>
      </c>
      <c r="O30" s="254">
        <v>0.53100000000000003</v>
      </c>
      <c r="P30" s="254">
        <v>0.218</v>
      </c>
      <c r="Q30" s="254">
        <v>0.02</v>
      </c>
      <c r="R30" s="254">
        <v>3.0000000000000001E-3</v>
      </c>
      <c r="S30" s="254">
        <v>0.13600000000000001</v>
      </c>
      <c r="T30" s="255">
        <v>1</v>
      </c>
    </row>
    <row r="32" spans="3:20">
      <c r="F32" s="90" t="s">
        <v>75</v>
      </c>
      <c r="G32" s="91">
        <f>SUM(E19,F19,E21,F21)</f>
        <v>4442</v>
      </c>
      <c r="P32" s="90" t="s">
        <v>75</v>
      </c>
      <c r="Q32" s="91">
        <f>SUM(O19,P19,O21,P21)</f>
        <v>7587</v>
      </c>
    </row>
    <row r="34" spans="3:20" ht="66">
      <c r="C34" s="92" t="s">
        <v>44</v>
      </c>
      <c r="D34" s="93" t="s">
        <v>45</v>
      </c>
      <c r="E34" s="93" t="s">
        <v>46</v>
      </c>
      <c r="M34" s="92" t="s">
        <v>44</v>
      </c>
      <c r="N34" s="93" t="s">
        <v>45</v>
      </c>
      <c r="O34" s="93" t="s">
        <v>46</v>
      </c>
    </row>
    <row r="35" spans="3:20" ht="26.4">
      <c r="C35" s="93" t="s">
        <v>47</v>
      </c>
      <c r="D35" s="94">
        <f>E19/G32</f>
        <v>0.40229626294461956</v>
      </c>
      <c r="E35" s="94">
        <f>E21/G32</f>
        <v>2.2512381809995496E-3</v>
      </c>
      <c r="M35" s="93" t="s">
        <v>47</v>
      </c>
      <c r="N35" s="94">
        <f>O19/Q32</f>
        <v>0.71741136153947538</v>
      </c>
      <c r="O35" s="94">
        <f>O21/Q32</f>
        <v>4.2177408725451431E-3</v>
      </c>
    </row>
    <row r="36" spans="3:20" ht="26.4">
      <c r="C36" s="93" t="s">
        <v>48</v>
      </c>
      <c r="D36" s="94">
        <f>F19/G32</f>
        <v>0.57901846015308422</v>
      </c>
      <c r="E36" s="94">
        <f>F21/G32</f>
        <v>1.6434038721296715E-2</v>
      </c>
      <c r="M36" s="93" t="s">
        <v>48</v>
      </c>
      <c r="N36" s="94">
        <f>P19/Q32</f>
        <v>0.21286410966126268</v>
      </c>
      <c r="O36" s="94">
        <f>P21/Q32</f>
        <v>6.5506787926716756E-2</v>
      </c>
    </row>
    <row r="39" spans="3:20" ht="12.75" customHeight="1">
      <c r="C39" s="839" t="s">
        <v>242</v>
      </c>
      <c r="D39" s="839"/>
      <c r="E39" s="839"/>
      <c r="F39" s="839"/>
      <c r="G39" s="839"/>
      <c r="H39" s="839"/>
      <c r="I39" s="839"/>
      <c r="J39" s="839"/>
      <c r="M39" s="839" t="s">
        <v>242</v>
      </c>
      <c r="N39" s="839"/>
      <c r="O39" s="839"/>
      <c r="P39" s="839"/>
      <c r="Q39" s="839"/>
      <c r="R39" s="839"/>
      <c r="S39" s="839"/>
      <c r="T39" s="839"/>
    </row>
    <row r="40" spans="3:20" ht="12.75" customHeight="1">
      <c r="C40" s="839" t="s">
        <v>243</v>
      </c>
      <c r="D40" s="839"/>
      <c r="E40" s="839"/>
      <c r="F40" s="839"/>
      <c r="G40" s="839"/>
      <c r="H40" s="839"/>
      <c r="I40" s="839"/>
      <c r="J40" s="839"/>
      <c r="M40" s="839" t="s">
        <v>243</v>
      </c>
      <c r="N40" s="839"/>
      <c r="O40" s="839"/>
      <c r="P40" s="839"/>
      <c r="Q40" s="839"/>
      <c r="R40" s="839"/>
      <c r="S40" s="839"/>
      <c r="T40" s="839"/>
    </row>
    <row r="41" spans="3:20" ht="12.75" customHeight="1">
      <c r="C41" s="839" t="s">
        <v>244</v>
      </c>
      <c r="D41" s="839"/>
      <c r="E41" s="839"/>
      <c r="F41" s="839"/>
      <c r="G41" s="839"/>
      <c r="H41" s="839"/>
      <c r="I41" s="839"/>
      <c r="J41" s="839"/>
      <c r="M41" s="839" t="s">
        <v>244</v>
      </c>
      <c r="N41" s="839"/>
      <c r="O41" s="839"/>
      <c r="P41" s="839"/>
      <c r="Q41" s="839"/>
      <c r="R41" s="839"/>
      <c r="S41" s="839"/>
      <c r="T41" s="839"/>
    </row>
    <row r="42" spans="3:20" ht="12.75" customHeight="1">
      <c r="C42" s="839" t="s">
        <v>245</v>
      </c>
      <c r="D42" s="839"/>
      <c r="E42" s="839"/>
      <c r="F42" s="839"/>
      <c r="G42" s="839"/>
      <c r="H42" s="839"/>
      <c r="I42" s="839"/>
      <c r="J42" s="839"/>
      <c r="M42" s="839" t="s">
        <v>245</v>
      </c>
      <c r="N42" s="839"/>
      <c r="O42" s="839"/>
      <c r="P42" s="839"/>
      <c r="Q42" s="839"/>
      <c r="R42" s="839"/>
      <c r="S42" s="839"/>
      <c r="T42" s="839"/>
    </row>
    <row r="43" spans="3:20" ht="12.75" customHeight="1">
      <c r="C43" s="839" t="s">
        <v>277</v>
      </c>
      <c r="D43" s="839"/>
      <c r="E43" s="839"/>
      <c r="F43" s="839"/>
      <c r="G43" s="839"/>
      <c r="H43" s="839"/>
      <c r="I43" s="839"/>
      <c r="J43" s="839"/>
      <c r="M43" s="839" t="s">
        <v>246</v>
      </c>
      <c r="N43" s="839"/>
      <c r="O43" s="839"/>
      <c r="P43" s="839"/>
      <c r="Q43" s="839"/>
      <c r="R43" s="839"/>
      <c r="S43" s="839"/>
      <c r="T43" s="839"/>
    </row>
    <row r="44" spans="3:20" ht="12.75" customHeight="1">
      <c r="C44" s="839" t="s">
        <v>278</v>
      </c>
      <c r="D44" s="839"/>
      <c r="E44" s="839"/>
      <c r="F44" s="839"/>
      <c r="G44" s="839"/>
      <c r="H44" s="839"/>
      <c r="I44" s="839"/>
      <c r="J44" s="839"/>
      <c r="M44" s="839" t="s">
        <v>279</v>
      </c>
      <c r="N44" s="839"/>
      <c r="O44" s="839"/>
      <c r="P44" s="839"/>
      <c r="Q44" s="839"/>
      <c r="R44" s="839"/>
      <c r="S44" s="839"/>
      <c r="T44" s="839"/>
    </row>
    <row r="45" spans="3:20">
      <c r="C45" s="836"/>
      <c r="D45" s="836"/>
      <c r="E45" s="836"/>
      <c r="F45" s="836"/>
      <c r="G45" s="836"/>
      <c r="H45" s="836"/>
      <c r="I45" s="836"/>
      <c r="J45" s="836"/>
      <c r="M45" s="836"/>
      <c r="N45" s="836"/>
      <c r="O45" s="836"/>
      <c r="P45" s="836"/>
      <c r="Q45" s="836"/>
      <c r="R45" s="836"/>
      <c r="S45" s="836"/>
      <c r="T45" s="836"/>
    </row>
    <row r="46" spans="3:20">
      <c r="C46" s="836"/>
      <c r="D46" s="836"/>
      <c r="E46" s="836"/>
      <c r="F46" s="836"/>
      <c r="G46" s="836"/>
      <c r="H46" s="836"/>
      <c r="I46" s="836"/>
      <c r="J46" s="836"/>
      <c r="M46" s="836"/>
      <c r="N46" s="836"/>
      <c r="O46" s="836"/>
      <c r="P46" s="836"/>
      <c r="Q46" s="836"/>
      <c r="R46" s="836"/>
      <c r="S46" s="836"/>
      <c r="T46" s="836"/>
    </row>
    <row r="47" spans="3:20" ht="12.75" customHeight="1">
      <c r="C47" s="838" t="s">
        <v>280</v>
      </c>
      <c r="D47" s="838"/>
      <c r="E47" s="838"/>
      <c r="F47" s="838"/>
      <c r="G47" s="838"/>
      <c r="H47" s="838"/>
      <c r="I47" s="838"/>
      <c r="J47" s="838"/>
      <c r="M47" s="838" t="s">
        <v>281</v>
      </c>
      <c r="N47" s="838"/>
      <c r="O47" s="838"/>
      <c r="P47" s="838"/>
      <c r="Q47" s="838"/>
      <c r="R47" s="838"/>
      <c r="S47" s="838"/>
      <c r="T47" s="838"/>
    </row>
    <row r="48" spans="3:20" ht="12.75" customHeight="1">
      <c r="C48" s="838" t="s">
        <v>67</v>
      </c>
      <c r="D48" s="838"/>
      <c r="E48" s="838"/>
      <c r="F48" s="838"/>
      <c r="G48" s="838"/>
      <c r="H48" s="838"/>
      <c r="I48" s="838"/>
      <c r="J48" s="838"/>
      <c r="M48" s="838" t="s">
        <v>67</v>
      </c>
      <c r="N48" s="838"/>
      <c r="O48" s="838"/>
      <c r="P48" s="838"/>
      <c r="Q48" s="838"/>
      <c r="R48" s="838"/>
      <c r="S48" s="838"/>
      <c r="T48" s="838"/>
    </row>
    <row r="49" spans="3:20">
      <c r="C49" s="836"/>
      <c r="D49" s="836"/>
      <c r="E49" s="836"/>
      <c r="F49" s="836"/>
      <c r="G49" s="836"/>
      <c r="H49" s="836"/>
      <c r="I49" s="836"/>
      <c r="J49" s="836"/>
      <c r="M49" s="836"/>
      <c r="N49" s="836"/>
      <c r="O49" s="836"/>
      <c r="P49" s="836"/>
      <c r="Q49" s="836"/>
      <c r="R49" s="836"/>
      <c r="S49" s="836"/>
      <c r="T49" s="836"/>
    </row>
    <row r="50" spans="3:20">
      <c r="C50" s="837"/>
      <c r="D50" s="837"/>
      <c r="E50" s="837"/>
      <c r="F50" s="837"/>
      <c r="G50" s="837"/>
      <c r="H50" s="837"/>
      <c r="I50" s="837"/>
      <c r="J50" s="837"/>
      <c r="M50" s="837"/>
      <c r="N50" s="837"/>
      <c r="O50" s="837"/>
      <c r="P50" s="837"/>
      <c r="Q50" s="837"/>
      <c r="R50" s="837"/>
      <c r="S50" s="837"/>
      <c r="T50" s="837"/>
    </row>
    <row r="51" spans="3:20" ht="12.75" customHeight="1">
      <c r="C51" s="837" t="s">
        <v>251</v>
      </c>
      <c r="D51" s="837"/>
      <c r="E51" s="837"/>
      <c r="F51" s="837"/>
      <c r="G51" s="837"/>
      <c r="H51" s="837"/>
      <c r="I51" s="837"/>
      <c r="J51" s="837"/>
      <c r="M51" s="837" t="s">
        <v>251</v>
      </c>
      <c r="N51" s="837"/>
      <c r="O51" s="837"/>
      <c r="P51" s="837"/>
      <c r="Q51" s="837"/>
      <c r="R51" s="837"/>
      <c r="S51" s="837"/>
      <c r="T51" s="837"/>
    </row>
    <row r="52" spans="3:20">
      <c r="C52" s="835"/>
      <c r="D52" s="835"/>
      <c r="E52" s="835"/>
      <c r="F52" s="835"/>
      <c r="G52" s="835"/>
      <c r="H52" s="835"/>
      <c r="I52" s="835"/>
      <c r="J52" s="835"/>
      <c r="M52" s="835"/>
      <c r="N52" s="835"/>
      <c r="O52" s="835"/>
      <c r="P52" s="835"/>
      <c r="Q52" s="835"/>
      <c r="R52" s="835"/>
      <c r="S52" s="835"/>
      <c r="T52" s="835"/>
    </row>
    <row r="53" spans="3:20" ht="40.200000000000003" thickBot="1">
      <c r="C53" s="238" t="s">
        <v>0</v>
      </c>
      <c r="D53" s="239" t="s">
        <v>68</v>
      </c>
      <c r="E53" s="239" t="s">
        <v>69</v>
      </c>
      <c r="F53" s="239" t="s">
        <v>70</v>
      </c>
      <c r="G53" s="239" t="s">
        <v>71</v>
      </c>
      <c r="H53" s="239" t="s">
        <v>72</v>
      </c>
      <c r="I53" s="239" t="s">
        <v>73</v>
      </c>
      <c r="J53" s="240" t="s">
        <v>1</v>
      </c>
      <c r="M53" s="238" t="s">
        <v>0</v>
      </c>
      <c r="N53" s="239" t="s">
        <v>68</v>
      </c>
      <c r="O53" s="239" t="s">
        <v>69</v>
      </c>
      <c r="P53" s="239" t="s">
        <v>70</v>
      </c>
      <c r="Q53" s="239" t="s">
        <v>71</v>
      </c>
      <c r="R53" s="239" t="s">
        <v>72</v>
      </c>
      <c r="S53" s="239" t="s">
        <v>73</v>
      </c>
      <c r="T53" s="240" t="s">
        <v>1</v>
      </c>
    </row>
    <row r="54" spans="3:20" ht="27" thickBot="1">
      <c r="C54" s="241" t="s">
        <v>2</v>
      </c>
      <c r="D54" s="243">
        <v>71366</v>
      </c>
      <c r="E54" s="243">
        <v>426196</v>
      </c>
      <c r="F54" s="243">
        <v>200691</v>
      </c>
      <c r="G54" s="244" t="s">
        <v>282</v>
      </c>
      <c r="H54" s="244" t="s">
        <v>283</v>
      </c>
      <c r="I54" s="243">
        <v>110385</v>
      </c>
      <c r="J54" s="245">
        <v>809230</v>
      </c>
      <c r="M54" s="241" t="s">
        <v>2</v>
      </c>
      <c r="N54" s="242">
        <v>861</v>
      </c>
      <c r="O54" s="243">
        <v>6181</v>
      </c>
      <c r="P54" s="243">
        <v>1648</v>
      </c>
      <c r="Q54" s="244" t="s">
        <v>253</v>
      </c>
      <c r="R54" s="244" t="s">
        <v>284</v>
      </c>
      <c r="S54" s="243">
        <v>1025</v>
      </c>
      <c r="T54" s="245">
        <v>9747</v>
      </c>
    </row>
    <row r="55" spans="3:20" ht="13.8" thickBot="1">
      <c r="C55" s="241"/>
      <c r="D55" s="246">
        <v>8.7999999999999995E-2</v>
      </c>
      <c r="E55" s="246">
        <v>0.52700000000000002</v>
      </c>
      <c r="F55" s="246">
        <v>0.248</v>
      </c>
      <c r="G55" s="244" t="s">
        <v>285</v>
      </c>
      <c r="H55" s="244" t="s">
        <v>3</v>
      </c>
      <c r="I55" s="246">
        <v>0.13600000000000001</v>
      </c>
      <c r="J55" s="247">
        <v>1</v>
      </c>
      <c r="M55" s="241"/>
      <c r="N55" s="246">
        <v>8.7999999999999995E-2</v>
      </c>
      <c r="O55" s="246">
        <v>0.63400000000000001</v>
      </c>
      <c r="P55" s="246">
        <v>0.16900000000000001</v>
      </c>
      <c r="Q55" s="244" t="s">
        <v>3</v>
      </c>
      <c r="R55" s="244" t="s">
        <v>74</v>
      </c>
      <c r="S55" s="246">
        <v>0.105</v>
      </c>
      <c r="T55" s="247">
        <v>1</v>
      </c>
    </row>
    <row r="56" spans="3:20" ht="13.8" thickBot="1">
      <c r="C56" s="241" t="s">
        <v>4</v>
      </c>
      <c r="D56" s="244" t="s">
        <v>286</v>
      </c>
      <c r="E56" s="256">
        <v>5877</v>
      </c>
      <c r="F56" s="243">
        <v>9126</v>
      </c>
      <c r="G56" s="242"/>
      <c r="H56" s="242"/>
      <c r="I56" s="244" t="s">
        <v>287</v>
      </c>
      <c r="J56" s="245">
        <v>22648</v>
      </c>
      <c r="M56" s="241" t="s">
        <v>4</v>
      </c>
      <c r="N56" s="244" t="s">
        <v>254</v>
      </c>
      <c r="O56" s="242">
        <v>33</v>
      </c>
      <c r="P56" s="242">
        <v>58</v>
      </c>
      <c r="Q56" s="242"/>
      <c r="R56" s="242"/>
      <c r="S56" s="242">
        <v>38</v>
      </c>
      <c r="T56" s="248">
        <v>146</v>
      </c>
    </row>
    <row r="57" spans="3:20" ht="13.8" thickBot="1">
      <c r="C57" s="241"/>
      <c r="D57" s="244" t="s">
        <v>288</v>
      </c>
      <c r="E57" s="244" t="s">
        <v>267</v>
      </c>
      <c r="F57" s="246">
        <v>0.40300000000000002</v>
      </c>
      <c r="G57" s="242"/>
      <c r="H57" s="242"/>
      <c r="I57" s="244" t="s">
        <v>289</v>
      </c>
      <c r="J57" s="247">
        <v>1</v>
      </c>
      <c r="M57" s="241"/>
      <c r="N57" s="244" t="s">
        <v>290</v>
      </c>
      <c r="O57" s="246">
        <v>0.22600000000000001</v>
      </c>
      <c r="P57" s="246">
        <v>0.39700000000000002</v>
      </c>
      <c r="Q57" s="242"/>
      <c r="R57" s="242"/>
      <c r="S57" s="246">
        <v>0.26</v>
      </c>
      <c r="T57" s="247">
        <v>1</v>
      </c>
    </row>
    <row r="58" spans="3:20" ht="13.8" thickBot="1">
      <c r="C58" s="241" t="s">
        <v>5</v>
      </c>
      <c r="D58" s="242"/>
      <c r="E58" s="242"/>
      <c r="F58" s="244" t="s">
        <v>291</v>
      </c>
      <c r="G58" s="244" t="s">
        <v>292</v>
      </c>
      <c r="H58" s="242"/>
      <c r="I58" s="244" t="s">
        <v>293</v>
      </c>
      <c r="J58" s="248">
        <v>583</v>
      </c>
      <c r="M58" s="241" t="s">
        <v>5</v>
      </c>
      <c r="N58" s="242"/>
      <c r="O58" s="244" t="s">
        <v>261</v>
      </c>
      <c r="P58" s="244" t="s">
        <v>262</v>
      </c>
      <c r="Q58" s="242"/>
      <c r="R58" s="242"/>
      <c r="S58" s="244" t="s">
        <v>261</v>
      </c>
      <c r="T58" s="248">
        <v>10</v>
      </c>
    </row>
    <row r="59" spans="3:20" ht="13.8" thickBot="1">
      <c r="C59" s="241"/>
      <c r="D59" s="242"/>
      <c r="E59" s="242"/>
      <c r="F59" s="244" t="s">
        <v>294</v>
      </c>
      <c r="G59" s="244" t="s">
        <v>268</v>
      </c>
      <c r="H59" s="242"/>
      <c r="I59" s="244" t="s">
        <v>295</v>
      </c>
      <c r="J59" s="247">
        <v>1</v>
      </c>
      <c r="M59" s="241"/>
      <c r="N59" s="242"/>
      <c r="O59" s="244" t="s">
        <v>296</v>
      </c>
      <c r="P59" s="244" t="s">
        <v>297</v>
      </c>
      <c r="Q59" s="242"/>
      <c r="R59" s="242"/>
      <c r="S59" s="244" t="s">
        <v>296</v>
      </c>
      <c r="T59" s="247">
        <v>1</v>
      </c>
    </row>
    <row r="60" spans="3:20" ht="13.8" thickBot="1">
      <c r="C60" s="241" t="s">
        <v>6</v>
      </c>
      <c r="D60" s="242"/>
      <c r="E60" s="242"/>
      <c r="F60" s="242"/>
      <c r="G60" s="242"/>
      <c r="H60" s="242"/>
      <c r="I60" s="242"/>
      <c r="J60" s="248"/>
      <c r="M60" s="241" t="s">
        <v>6</v>
      </c>
      <c r="N60" s="242"/>
      <c r="O60" s="242"/>
      <c r="P60" s="242"/>
      <c r="Q60" s="242"/>
      <c r="R60" s="242"/>
      <c r="S60" s="244" t="s">
        <v>271</v>
      </c>
      <c r="T60" s="248">
        <v>1</v>
      </c>
    </row>
    <row r="61" spans="3:20" ht="13.8" thickBot="1">
      <c r="C61" s="241"/>
      <c r="D61" s="242"/>
      <c r="E61" s="242"/>
      <c r="F61" s="242"/>
      <c r="G61" s="242"/>
      <c r="H61" s="242"/>
      <c r="I61" s="242"/>
      <c r="J61" s="248"/>
      <c r="M61" s="241"/>
      <c r="N61" s="242"/>
      <c r="O61" s="242"/>
      <c r="P61" s="242"/>
      <c r="Q61" s="242"/>
      <c r="R61" s="242"/>
      <c r="S61" s="244" t="s">
        <v>273</v>
      </c>
      <c r="T61" s="247">
        <v>1</v>
      </c>
    </row>
    <row r="62" spans="3:20" ht="13.8" thickBot="1">
      <c r="C62" s="241" t="s">
        <v>7</v>
      </c>
      <c r="D62" s="242"/>
      <c r="E62" s="244" t="s">
        <v>292</v>
      </c>
      <c r="F62" s="242"/>
      <c r="G62" s="242"/>
      <c r="H62" s="242"/>
      <c r="I62" s="242"/>
      <c r="J62" s="248">
        <v>108</v>
      </c>
      <c r="M62" s="241" t="s">
        <v>7</v>
      </c>
      <c r="N62" s="242"/>
      <c r="O62" s="244" t="s">
        <v>271</v>
      </c>
      <c r="P62" s="244" t="s">
        <v>271</v>
      </c>
      <c r="Q62" s="242"/>
      <c r="R62" s="242"/>
      <c r="S62" s="244" t="s">
        <v>264</v>
      </c>
      <c r="T62" s="248">
        <v>7</v>
      </c>
    </row>
    <row r="63" spans="3:20" ht="13.8" thickBot="1">
      <c r="C63" s="241"/>
      <c r="D63" s="242"/>
      <c r="E63" s="244" t="s">
        <v>273</v>
      </c>
      <c r="F63" s="242"/>
      <c r="G63" s="242"/>
      <c r="H63" s="242"/>
      <c r="I63" s="242"/>
      <c r="J63" s="247">
        <v>1</v>
      </c>
      <c r="M63" s="241"/>
      <c r="N63" s="242"/>
      <c r="O63" s="244" t="s">
        <v>298</v>
      </c>
      <c r="P63" s="244" t="s">
        <v>298</v>
      </c>
      <c r="Q63" s="242"/>
      <c r="R63" s="242"/>
      <c r="S63" s="244" t="s">
        <v>299</v>
      </c>
      <c r="T63" s="247">
        <v>1</v>
      </c>
    </row>
    <row r="64" spans="3:20" ht="13.8" thickBot="1">
      <c r="C64" s="249" t="s">
        <v>1</v>
      </c>
      <c r="D64" s="251">
        <v>71808</v>
      </c>
      <c r="E64" s="251">
        <v>432181</v>
      </c>
      <c r="F64" s="251">
        <v>209937</v>
      </c>
      <c r="G64" s="250">
        <v>226</v>
      </c>
      <c r="H64" s="250">
        <v>474</v>
      </c>
      <c r="I64" s="251">
        <v>117942</v>
      </c>
      <c r="J64" s="252">
        <v>832568</v>
      </c>
      <c r="M64" s="249" t="s">
        <v>1</v>
      </c>
      <c r="N64" s="250">
        <v>878</v>
      </c>
      <c r="O64" s="251">
        <v>6219</v>
      </c>
      <c r="P64" s="251">
        <v>1709</v>
      </c>
      <c r="Q64" s="250">
        <v>10</v>
      </c>
      <c r="R64" s="250">
        <v>22</v>
      </c>
      <c r="S64" s="251">
        <v>1073</v>
      </c>
      <c r="T64" s="252">
        <v>9911</v>
      </c>
    </row>
    <row r="65" spans="2:20">
      <c r="C65" s="253"/>
      <c r="D65" s="254">
        <v>8.5999999999999993E-2</v>
      </c>
      <c r="E65" s="254">
        <v>0.51900000000000002</v>
      </c>
      <c r="F65" s="254">
        <v>0.252</v>
      </c>
      <c r="G65" s="254">
        <v>0</v>
      </c>
      <c r="H65" s="254">
        <v>1E-3</v>
      </c>
      <c r="I65" s="254">
        <v>0.14199999999999999</v>
      </c>
      <c r="J65" s="255">
        <v>1</v>
      </c>
      <c r="M65" s="253"/>
      <c r="N65" s="254">
        <v>8.8999999999999996E-2</v>
      </c>
      <c r="O65" s="254">
        <v>0.627</v>
      </c>
      <c r="P65" s="254">
        <v>0.17199999999999999</v>
      </c>
      <c r="Q65" s="254">
        <v>1E-3</v>
      </c>
      <c r="R65" s="254">
        <v>2E-3</v>
      </c>
      <c r="S65" s="254">
        <v>0.108</v>
      </c>
      <c r="T65" s="255">
        <v>1</v>
      </c>
    </row>
    <row r="67" spans="2:20">
      <c r="F67" s="90" t="s">
        <v>75</v>
      </c>
      <c r="G67" s="91">
        <f>SUM(E54,F54,E56,F56)</f>
        <v>641890</v>
      </c>
      <c r="P67" s="90" t="s">
        <v>75</v>
      </c>
      <c r="Q67" s="91">
        <f>SUM(O54,P54,O56,P56)</f>
        <v>7920</v>
      </c>
    </row>
    <row r="69" spans="2:20" ht="66">
      <c r="C69" s="92" t="s">
        <v>44</v>
      </c>
      <c r="D69" s="93" t="s">
        <v>45</v>
      </c>
      <c r="E69" s="93" t="s">
        <v>46</v>
      </c>
      <c r="M69" s="92" t="s">
        <v>44</v>
      </c>
      <c r="N69" s="93" t="s">
        <v>45</v>
      </c>
      <c r="O69" s="93" t="s">
        <v>46</v>
      </c>
    </row>
    <row r="70" spans="2:20" ht="26.4">
      <c r="C70" s="93" t="s">
        <v>47</v>
      </c>
      <c r="D70" s="94">
        <f>E54/G67</f>
        <v>0.6639704622287308</v>
      </c>
      <c r="E70" s="94">
        <f>E56/G67</f>
        <v>9.155774353861253E-3</v>
      </c>
      <c r="M70" s="93" t="s">
        <v>47</v>
      </c>
      <c r="N70" s="94">
        <f>O54/Q67</f>
        <v>0.78042929292929297</v>
      </c>
      <c r="O70" s="94">
        <f>O56/Q67</f>
        <v>4.1666666666666666E-3</v>
      </c>
    </row>
    <row r="71" spans="2:20" ht="26.4">
      <c r="C71" s="93" t="s">
        <v>48</v>
      </c>
      <c r="D71" s="94">
        <f>F54/G67</f>
        <v>0.31265637414510272</v>
      </c>
      <c r="E71" s="94">
        <f>F56/G67</f>
        <v>1.4217389272305224E-2</v>
      </c>
      <c r="M71" s="93" t="s">
        <v>48</v>
      </c>
      <c r="N71" s="94">
        <f>P54/Q67</f>
        <v>0.20808080808080809</v>
      </c>
      <c r="O71" s="94">
        <f>P56/Q67</f>
        <v>7.3232323232323236E-3</v>
      </c>
    </row>
    <row r="74" spans="2:20">
      <c r="B74" s="257" t="s">
        <v>300</v>
      </c>
    </row>
    <row r="75" spans="2:20">
      <c r="B75" s="258"/>
      <c r="C75" s="93"/>
      <c r="D75" s="259" t="s">
        <v>45</v>
      </c>
      <c r="E75" s="259" t="s">
        <v>46</v>
      </c>
    </row>
    <row r="76" spans="2:20">
      <c r="B76" s="258" t="s">
        <v>14</v>
      </c>
      <c r="C76" s="259" t="s">
        <v>47</v>
      </c>
      <c r="D76" s="260">
        <f>D35</f>
        <v>0.40229626294461956</v>
      </c>
      <c r="E76" s="260">
        <f>E35</f>
        <v>2.2512381809995496E-3</v>
      </c>
    </row>
    <row r="77" spans="2:20">
      <c r="B77" s="258" t="s">
        <v>16</v>
      </c>
      <c r="C77" s="259"/>
      <c r="D77" s="260">
        <f>N35</f>
        <v>0.71741136153947538</v>
      </c>
      <c r="E77" s="260">
        <f>O35</f>
        <v>4.2177408725451431E-3</v>
      </c>
    </row>
    <row r="78" spans="2:20">
      <c r="B78" s="258" t="s">
        <v>15</v>
      </c>
      <c r="C78" s="259"/>
      <c r="D78" s="260">
        <f>D70</f>
        <v>0.6639704622287308</v>
      </c>
      <c r="E78" s="260">
        <f>E70</f>
        <v>9.155774353861253E-3</v>
      </c>
    </row>
    <row r="79" spans="2:20">
      <c r="B79" s="258" t="s">
        <v>301</v>
      </c>
      <c r="C79" s="259"/>
      <c r="D79" s="260">
        <f>N70</f>
        <v>0.78042929292929297</v>
      </c>
      <c r="E79" s="260">
        <f>O70</f>
        <v>4.1666666666666666E-3</v>
      </c>
    </row>
    <row r="80" spans="2:20">
      <c r="B80" s="258" t="s">
        <v>14</v>
      </c>
      <c r="C80" s="259" t="s">
        <v>48</v>
      </c>
      <c r="D80" s="260">
        <f>D36</f>
        <v>0.57901846015308422</v>
      </c>
      <c r="E80" s="260">
        <f>E36</f>
        <v>1.6434038721296715E-2</v>
      </c>
    </row>
    <row r="81" spans="2:5">
      <c r="B81" s="258" t="s">
        <v>16</v>
      </c>
      <c r="C81" s="258"/>
      <c r="D81" s="260">
        <f>N36</f>
        <v>0.21286410966126268</v>
      </c>
      <c r="E81" s="260">
        <f>O36</f>
        <v>6.5506787926716756E-2</v>
      </c>
    </row>
    <row r="82" spans="2:5">
      <c r="B82" s="258" t="s">
        <v>15</v>
      </c>
      <c r="C82" s="258"/>
      <c r="D82" s="260">
        <f>D71</f>
        <v>0.31265637414510272</v>
      </c>
      <c r="E82" s="260">
        <f>E71</f>
        <v>1.4217389272305224E-2</v>
      </c>
    </row>
    <row r="83" spans="2:5">
      <c r="B83" s="258" t="s">
        <v>301</v>
      </c>
      <c r="C83" s="258"/>
      <c r="D83" s="260">
        <f>N71</f>
        <v>0.20808080808080809</v>
      </c>
      <c r="E83" s="260">
        <f>O71</f>
        <v>7.3232323232323236E-3</v>
      </c>
    </row>
  </sheetData>
  <mergeCells count="56">
    <mergeCell ref="C4:J4"/>
    <mergeCell ref="M4:T4"/>
    <mergeCell ref="C5:J5"/>
    <mergeCell ref="M5:T5"/>
    <mergeCell ref="C6:J6"/>
    <mergeCell ref="M6:T6"/>
    <mergeCell ref="C7:J7"/>
    <mergeCell ref="M7:T7"/>
    <mergeCell ref="C8:J8"/>
    <mergeCell ref="M8:T8"/>
    <mergeCell ref="C9:J9"/>
    <mergeCell ref="M9:T9"/>
    <mergeCell ref="C10:J10"/>
    <mergeCell ref="M10:T10"/>
    <mergeCell ref="C11:J11"/>
    <mergeCell ref="M11:T11"/>
    <mergeCell ref="C12:J12"/>
    <mergeCell ref="M12:T12"/>
    <mergeCell ref="C13:J13"/>
    <mergeCell ref="M13:T13"/>
    <mergeCell ref="C14:J14"/>
    <mergeCell ref="M14:T14"/>
    <mergeCell ref="C15:J15"/>
    <mergeCell ref="M15:T15"/>
    <mergeCell ref="C16:J16"/>
    <mergeCell ref="M16:T16"/>
    <mergeCell ref="C17:J17"/>
    <mergeCell ref="M17:T17"/>
    <mergeCell ref="C39:J39"/>
    <mergeCell ref="M39:T39"/>
    <mergeCell ref="C40:J40"/>
    <mergeCell ref="M40:T40"/>
    <mergeCell ref="C41:J41"/>
    <mergeCell ref="M41:T41"/>
    <mergeCell ref="C42:J42"/>
    <mergeCell ref="M42:T42"/>
    <mergeCell ref="C43:J43"/>
    <mergeCell ref="M43:T43"/>
    <mergeCell ref="C44:J44"/>
    <mergeCell ref="M44:T44"/>
    <mergeCell ref="C45:J45"/>
    <mergeCell ref="M45:T45"/>
    <mergeCell ref="C46:J46"/>
    <mergeCell ref="M46:T46"/>
    <mergeCell ref="C47:J47"/>
    <mergeCell ref="M47:T47"/>
    <mergeCell ref="C48:J48"/>
    <mergeCell ref="M48:T48"/>
    <mergeCell ref="C52:J52"/>
    <mergeCell ref="M52:T52"/>
    <mergeCell ref="C49:J49"/>
    <mergeCell ref="M49:T49"/>
    <mergeCell ref="C50:J50"/>
    <mergeCell ref="M50:T50"/>
    <mergeCell ref="C51:J51"/>
    <mergeCell ref="M51:T51"/>
  </mergeCells>
  <pageMargins left="0.7" right="0.7" top="0.75" bottom="0.75" header="0.3" footer="0.3"/>
  <pageSetup scale="4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5"/>
  <sheetViews>
    <sheetView workbookViewId="0">
      <selection activeCell="A40" sqref="A40"/>
    </sheetView>
  </sheetViews>
  <sheetFormatPr defaultRowHeight="14.4"/>
  <cols>
    <col min="1" max="1" width="40.5546875" customWidth="1"/>
    <col min="2" max="2" width="13" customWidth="1"/>
    <col min="3" max="3" width="19.88671875" customWidth="1"/>
    <col min="4" max="4" width="12" customWidth="1"/>
    <col min="5" max="5" width="15.5546875" customWidth="1"/>
    <col min="8" max="8" width="19.5546875" bestFit="1" customWidth="1"/>
    <col min="9" max="9" width="18.6640625" bestFit="1" customWidth="1"/>
  </cols>
  <sheetData>
    <row r="1" spans="1:7" ht="15.6">
      <c r="A1" s="842" t="s">
        <v>127</v>
      </c>
      <c r="B1" s="842"/>
      <c r="C1" s="842"/>
      <c r="D1" s="842"/>
      <c r="E1" s="842"/>
      <c r="F1" s="842"/>
      <c r="G1" s="153" t="s">
        <v>128</v>
      </c>
    </row>
    <row r="2" spans="1:7" ht="28.8">
      <c r="A2" s="154" t="s">
        <v>129</v>
      </c>
      <c r="B2" s="154" t="s">
        <v>130</v>
      </c>
      <c r="C2" s="154" t="s">
        <v>131</v>
      </c>
      <c r="D2" s="154" t="s">
        <v>132</v>
      </c>
      <c r="E2" s="155" t="s">
        <v>133</v>
      </c>
      <c r="F2" s="44"/>
    </row>
    <row r="3" spans="1:7">
      <c r="A3" s="156">
        <v>5423000</v>
      </c>
      <c r="B3" s="157">
        <v>0.66</v>
      </c>
      <c r="C3" s="156">
        <f>A3/B3</f>
        <v>8216666.666666666</v>
      </c>
      <c r="D3" s="157">
        <v>0.12</v>
      </c>
      <c r="E3" s="158">
        <f>C3*D3</f>
        <v>985999.99999999988</v>
      </c>
      <c r="F3" s="44"/>
    </row>
    <row r="5" spans="1:7" ht="15.6">
      <c r="A5" s="842" t="s">
        <v>134</v>
      </c>
      <c r="B5" s="842"/>
      <c r="C5" s="842"/>
      <c r="D5" s="842"/>
    </row>
    <row r="6" spans="1:7" ht="15.6">
      <c r="A6" s="843"/>
      <c r="B6" s="844"/>
      <c r="C6" s="845"/>
      <c r="D6" s="159" t="s">
        <v>135</v>
      </c>
      <c r="E6" s="45"/>
    </row>
    <row r="7" spans="1:7">
      <c r="A7" s="160" t="s">
        <v>136</v>
      </c>
      <c r="B7" s="44"/>
      <c r="C7" s="44"/>
      <c r="D7" s="161">
        <f>F19</f>
        <v>0.81244318181818187</v>
      </c>
      <c r="E7" s="162"/>
    </row>
    <row r="8" spans="1:7">
      <c r="A8" s="160" t="s">
        <v>137</v>
      </c>
      <c r="B8" s="44"/>
      <c r="C8" s="44"/>
      <c r="D8" s="161">
        <v>0.95</v>
      </c>
      <c r="E8" s="162"/>
    </row>
    <row r="9" spans="1:7">
      <c r="A9" s="846" t="s">
        <v>138</v>
      </c>
      <c r="B9" s="847"/>
      <c r="C9" s="847"/>
      <c r="D9" s="163">
        <f>SUM(B27:B30,B32:B33)</f>
        <v>0.27</v>
      </c>
      <c r="E9" s="162"/>
    </row>
    <row r="10" spans="1:7">
      <c r="A10" s="848"/>
      <c r="B10" s="849"/>
      <c r="C10" s="849"/>
      <c r="D10" s="850"/>
    </row>
    <row r="11" spans="1:7">
      <c r="A11" s="160" t="s">
        <v>139</v>
      </c>
      <c r="B11" s="44"/>
      <c r="C11" s="44"/>
      <c r="D11" s="158">
        <f>E3*D7*D8*D9</f>
        <v>205474.19267045453</v>
      </c>
    </row>
    <row r="16" spans="1:7" ht="15" thickBot="1">
      <c r="A16" s="164" t="s">
        <v>140</v>
      </c>
    </row>
    <row r="17" spans="1:9">
      <c r="A17" s="165" t="s">
        <v>141</v>
      </c>
      <c r="B17" s="851" t="s">
        <v>142</v>
      </c>
      <c r="C17" s="851"/>
      <c r="D17" s="851"/>
      <c r="E17" s="852" t="s">
        <v>143</v>
      </c>
      <c r="F17" s="840" t="s">
        <v>144</v>
      </c>
    </row>
    <row r="18" spans="1:9">
      <c r="A18" s="166" t="s">
        <v>145</v>
      </c>
      <c r="B18" s="166" t="s">
        <v>146</v>
      </c>
      <c r="C18" s="166" t="s">
        <v>147</v>
      </c>
      <c r="D18" s="166" t="s">
        <v>148</v>
      </c>
      <c r="E18" s="852"/>
      <c r="F18" s="841"/>
    </row>
    <row r="19" spans="1:9">
      <c r="A19" s="44" t="s">
        <v>146</v>
      </c>
      <c r="B19" s="167">
        <f>0.96*B22</f>
        <v>88.32</v>
      </c>
      <c r="C19" s="167">
        <f>C22*0.84</f>
        <v>115.92</v>
      </c>
      <c r="D19" s="167">
        <f>0.67*D22</f>
        <v>81.740000000000009</v>
      </c>
      <c r="E19" s="168">
        <f>SUM(B19:D19)</f>
        <v>285.98</v>
      </c>
      <c r="F19" s="170">
        <f>E19/E22</f>
        <v>0.81244318181818187</v>
      </c>
    </row>
    <row r="20" spans="1:9">
      <c r="A20" s="44" t="s">
        <v>147</v>
      </c>
      <c r="B20" s="167">
        <f>0.03*B22</f>
        <v>2.76</v>
      </c>
      <c r="C20" s="167">
        <f>C22*0.11</f>
        <v>15.18</v>
      </c>
      <c r="D20" s="167">
        <f>D22*0.11</f>
        <v>13.42</v>
      </c>
      <c r="E20" s="168">
        <f>SUM(B20:D20)</f>
        <v>31.36</v>
      </c>
      <c r="F20" s="170">
        <f>E20/E22</f>
        <v>8.9090909090909096E-2</v>
      </c>
    </row>
    <row r="21" spans="1:9">
      <c r="A21" s="44" t="s">
        <v>148</v>
      </c>
      <c r="B21" s="167">
        <f>0.01*B22</f>
        <v>0.92</v>
      </c>
      <c r="C21" s="167">
        <f>C22*0.05</f>
        <v>6.9</v>
      </c>
      <c r="D21" s="167">
        <f>0.22*D22</f>
        <v>26.84</v>
      </c>
      <c r="E21" s="168">
        <f>SUM(B21:D21)</f>
        <v>34.659999999999997</v>
      </c>
      <c r="F21" s="170">
        <f>E21/E22</f>
        <v>9.8465909090909076E-2</v>
      </c>
    </row>
    <row r="22" spans="1:9">
      <c r="A22" s="171" t="s">
        <v>143</v>
      </c>
      <c r="B22" s="171">
        <v>92</v>
      </c>
      <c r="C22" s="171">
        <v>138</v>
      </c>
      <c r="D22" s="171">
        <v>122</v>
      </c>
      <c r="E22" s="172">
        <f>SUM(E19:E21)</f>
        <v>352</v>
      </c>
      <c r="F22" s="170">
        <f>E22/E22</f>
        <v>1</v>
      </c>
    </row>
    <row r="23" spans="1:9" ht="15" thickBot="1"/>
    <row r="24" spans="1:9">
      <c r="A24" s="165" t="s">
        <v>149</v>
      </c>
      <c r="B24" s="840" t="s">
        <v>144</v>
      </c>
    </row>
    <row r="25" spans="1:9">
      <c r="A25" s="166" t="s">
        <v>150</v>
      </c>
      <c r="B25" s="841"/>
    </row>
    <row r="26" spans="1:9">
      <c r="A26" s="173" t="s">
        <v>151</v>
      </c>
      <c r="B26" s="170">
        <v>0.36</v>
      </c>
    </row>
    <row r="27" spans="1:9">
      <c r="A27" s="174" t="s">
        <v>152</v>
      </c>
      <c r="B27" s="169">
        <v>0.08</v>
      </c>
    </row>
    <row r="28" spans="1:9">
      <c r="A28" s="174" t="s">
        <v>153</v>
      </c>
      <c r="B28" s="169">
        <v>0.09</v>
      </c>
    </row>
    <row r="29" spans="1:9">
      <c r="A29" s="174" t="s">
        <v>154</v>
      </c>
      <c r="B29" s="169">
        <v>0.03</v>
      </c>
    </row>
    <row r="30" spans="1:9">
      <c r="A30" s="174" t="s">
        <v>155</v>
      </c>
      <c r="B30" s="169">
        <v>0.03</v>
      </c>
    </row>
    <row r="31" spans="1:9">
      <c r="A31" s="173" t="s">
        <v>156</v>
      </c>
      <c r="B31" s="170">
        <v>0.3</v>
      </c>
      <c r="I31" s="175"/>
    </row>
    <row r="32" spans="1:9">
      <c r="A32" s="174" t="s">
        <v>157</v>
      </c>
      <c r="B32" s="169">
        <v>0.01</v>
      </c>
    </row>
    <row r="33" spans="1:2">
      <c r="A33" s="174" t="s">
        <v>158</v>
      </c>
      <c r="B33" s="169">
        <v>0.03</v>
      </c>
    </row>
    <row r="34" spans="1:2">
      <c r="A34" s="173" t="s">
        <v>7</v>
      </c>
      <c r="B34" s="170">
        <v>7.0000000000000007E-2</v>
      </c>
    </row>
    <row r="35" spans="1:2" ht="15" thickBot="1">
      <c r="A35" s="176" t="s">
        <v>159</v>
      </c>
      <c r="B35" s="177">
        <f>SUM(B26:B34)</f>
        <v>1.0000000000000002</v>
      </c>
    </row>
  </sheetData>
  <mergeCells count="9">
    <mergeCell ref="B24:B25"/>
    <mergeCell ref="A1:F1"/>
    <mergeCell ref="A5:D5"/>
    <mergeCell ref="A6:C6"/>
    <mergeCell ref="A9:C9"/>
    <mergeCell ref="A10:D10"/>
    <mergeCell ref="B17:D17"/>
    <mergeCell ref="E17:E18"/>
    <mergeCell ref="F17:F18"/>
  </mergeCells>
  <hyperlinks>
    <hyperlink ref="G1" r:id="rId1"/>
  </hyperlinks>
  <pageMargins left="0.7" right="0.7" top="0.75" bottom="0.75" header="0.3" footer="0.3"/>
  <pageSetup orientation="portrait" r:id="rId2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2050" r:id="rId5">
          <objectPr defaultSize="0" r:id="rId6">
            <anchor moveWithCells="1">
              <from>
                <xdr:col>0</xdr:col>
                <xdr:colOff>2080260</xdr:colOff>
                <xdr:row>12</xdr:row>
                <xdr:rowOff>30480</xdr:rowOff>
              </from>
              <to>
                <xdr:col>1</xdr:col>
                <xdr:colOff>289560</xdr:colOff>
                <xdr:row>15</xdr:row>
                <xdr:rowOff>144780</xdr:rowOff>
              </to>
            </anchor>
          </objectPr>
        </oleObject>
      </mc:Choice>
      <mc:Fallback>
        <oleObject progId="Acrobat Document" dvAspect="DVASPECT_ICON" shapeId="2050" r:id="rId5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U122"/>
  <sheetViews>
    <sheetView topLeftCell="F1" workbookViewId="0">
      <selection activeCell="J52" sqref="J52"/>
    </sheetView>
  </sheetViews>
  <sheetFormatPr defaultRowHeight="14.4"/>
  <cols>
    <col min="1" max="3" width="4.6640625" customWidth="1"/>
    <col min="4" max="4" width="5.33203125" customWidth="1"/>
    <col min="5" max="5" width="9.6640625" customWidth="1"/>
    <col min="6" max="39" width="8.6640625" customWidth="1"/>
    <col min="40" max="40" width="5.109375" customWidth="1"/>
    <col min="41" max="41" width="9.6640625" customWidth="1"/>
    <col min="42" max="71" width="8.6640625" customWidth="1"/>
    <col min="72" max="72" width="4.44140625" customWidth="1"/>
  </cols>
  <sheetData>
    <row r="1" spans="1:15">
      <c r="G1" s="552">
        <f>COLUMN()</f>
        <v>7</v>
      </c>
      <c r="H1" s="552">
        <f>COLUMN()</f>
        <v>8</v>
      </c>
      <c r="I1" s="552">
        <f>COLUMN()</f>
        <v>9</v>
      </c>
      <c r="J1" s="552">
        <f>COLUMN()</f>
        <v>10</v>
      </c>
      <c r="K1" s="552">
        <f>COLUMN()</f>
        <v>11</v>
      </c>
      <c r="L1" s="552">
        <f>COLUMN()</f>
        <v>12</v>
      </c>
      <c r="M1" s="552">
        <f>COLUMN()</f>
        <v>13</v>
      </c>
      <c r="N1" s="552">
        <f>COLUMN()</f>
        <v>14</v>
      </c>
      <c r="O1" s="552">
        <f>COLUMN()</f>
        <v>15</v>
      </c>
    </row>
    <row r="2" spans="1:15">
      <c r="D2" s="10" t="s">
        <v>418</v>
      </c>
      <c r="G2" s="552">
        <f>EARTeamUECandUESCalcs!X32</f>
        <v>24</v>
      </c>
      <c r="H2" s="552">
        <f>EARTeamUECandUESCalcs!W32</f>
        <v>23</v>
      </c>
      <c r="I2" s="552">
        <f>EARTeamUECandUESCalcs!Y32</f>
        <v>25</v>
      </c>
      <c r="J2" s="552">
        <f>G2+10</f>
        <v>34</v>
      </c>
      <c r="K2" s="552">
        <f t="shared" ref="K2" si="0">H2+10</f>
        <v>33</v>
      </c>
      <c r="L2" s="552">
        <f>I2+10</f>
        <v>35</v>
      </c>
      <c r="M2" s="552">
        <f>J2+10</f>
        <v>44</v>
      </c>
      <c r="N2" s="552">
        <f>K2+10</f>
        <v>43</v>
      </c>
      <c r="O2" s="552">
        <f t="shared" ref="O2" si="1">L2+10</f>
        <v>45</v>
      </c>
    </row>
    <row r="3" spans="1:15">
      <c r="D3" s="10"/>
      <c r="G3" s="552"/>
      <c r="H3" s="635" t="s">
        <v>454</v>
      </c>
      <c r="I3" s="552"/>
      <c r="K3" s="627" t="s">
        <v>455</v>
      </c>
      <c r="N3" s="627" t="s">
        <v>456</v>
      </c>
    </row>
    <row r="4" spans="1:15" ht="43.2">
      <c r="D4" t="s">
        <v>107</v>
      </c>
      <c r="E4" t="s">
        <v>416</v>
      </c>
      <c r="F4" s="546" t="s">
        <v>417</v>
      </c>
      <c r="G4" s="45" t="s">
        <v>25</v>
      </c>
      <c r="H4" s="45" t="s">
        <v>406</v>
      </c>
      <c r="I4" s="45" t="s">
        <v>407</v>
      </c>
      <c r="J4" s="627" t="s">
        <v>25</v>
      </c>
      <c r="K4" s="627" t="s">
        <v>406</v>
      </c>
      <c r="L4" s="627" t="s">
        <v>407</v>
      </c>
      <c r="M4" s="627" t="s">
        <v>25</v>
      </c>
      <c r="N4" s="627" t="s">
        <v>406</v>
      </c>
      <c r="O4" s="627" t="s">
        <v>407</v>
      </c>
    </row>
    <row r="5" spans="1:15">
      <c r="A5" s="551" t="str">
        <f>D5&amp;B5&amp;C5</f>
        <v>SCEResNoRepl</v>
      </c>
      <c r="B5" s="551" t="s">
        <v>206</v>
      </c>
      <c r="C5" s="551" t="s">
        <v>411</v>
      </c>
      <c r="D5" t="s">
        <v>16</v>
      </c>
      <c r="E5" t="s">
        <v>412</v>
      </c>
      <c r="F5" t="s">
        <v>415</v>
      </c>
      <c r="G5" s="550">
        <f t="shared" ref="G5:O5" si="2">VLOOKUP($A5,t.ResAnnualUES,G$2,FALSE)</f>
        <v>421.30850706735214</v>
      </c>
      <c r="H5" s="547">
        <f t="shared" si="2"/>
        <v>5.2968681054034843E-2</v>
      </c>
      <c r="I5" s="549">
        <f t="shared" si="2"/>
        <v>35.695204036184265</v>
      </c>
      <c r="J5" s="550">
        <f t="shared" si="2"/>
        <v>384.17623186819566</v>
      </c>
      <c r="K5" s="547">
        <f t="shared" si="2"/>
        <v>4.8300254927238551E-2</v>
      </c>
      <c r="L5" s="549">
        <f t="shared" si="2"/>
        <v>32.549186053334125</v>
      </c>
      <c r="M5" s="550">
        <f t="shared" si="2"/>
        <v>347.04395666903923</v>
      </c>
      <c r="N5" s="547">
        <f t="shared" si="2"/>
        <v>4.3631828800442252E-2</v>
      </c>
      <c r="O5" s="549">
        <f t="shared" si="2"/>
        <v>29.403168070483986</v>
      </c>
    </row>
    <row r="6" spans="1:15">
      <c r="A6" s="551" t="str">
        <f t="shared" ref="A6:A20" si="3">D6&amp;B6&amp;C6</f>
        <v>SCERes</v>
      </c>
      <c r="B6" s="551" t="s">
        <v>206</v>
      </c>
      <c r="C6" s="551"/>
      <c r="D6" t="str">
        <f>D5</f>
        <v>SCE</v>
      </c>
      <c r="E6" t="s">
        <v>413</v>
      </c>
      <c r="F6" t="s">
        <v>415</v>
      </c>
      <c r="G6" s="45">
        <v>0</v>
      </c>
      <c r="H6" s="45">
        <v>0</v>
      </c>
      <c r="I6" s="45">
        <v>0</v>
      </c>
      <c r="J6" s="627">
        <v>0</v>
      </c>
      <c r="K6" s="627">
        <v>0</v>
      </c>
      <c r="L6" s="627">
        <v>0</v>
      </c>
      <c r="M6" s="627">
        <v>0</v>
      </c>
      <c r="N6" s="627">
        <v>0</v>
      </c>
      <c r="O6" s="627">
        <v>0</v>
      </c>
    </row>
    <row r="7" spans="1:15">
      <c r="A7" s="551" t="str">
        <f t="shared" si="3"/>
        <v>SCEResWorkpaper</v>
      </c>
      <c r="B7" s="551" t="s">
        <v>206</v>
      </c>
      <c r="C7" s="551" t="str">
        <f>F7</f>
        <v>Workpaper</v>
      </c>
      <c r="D7" t="str">
        <f t="shared" ref="D7:D8" si="4">D6</f>
        <v>SCE</v>
      </c>
      <c r="E7" t="s">
        <v>414</v>
      </c>
      <c r="F7" t="s">
        <v>345</v>
      </c>
      <c r="G7" s="550">
        <f t="shared" ref="G7:O9" si="5">VLOOKUP($A7,t.ResAnnualUES,G$2,FALSE)</f>
        <v>164.58798515355221</v>
      </c>
      <c r="H7" s="547">
        <f t="shared" si="5"/>
        <v>2.1586198377804927E-2</v>
      </c>
      <c r="I7" s="549">
        <f t="shared" si="5"/>
        <v>15.536259444654013</v>
      </c>
      <c r="J7" s="550">
        <f t="shared" si="5"/>
        <v>150.08192544510354</v>
      </c>
      <c r="K7" s="547">
        <f t="shared" si="5"/>
        <v>1.9683685978405172E-2</v>
      </c>
      <c r="L7" s="549">
        <f t="shared" si="5"/>
        <v>14.166962002074337</v>
      </c>
      <c r="M7" s="550">
        <f t="shared" si="5"/>
        <v>135.57586573665486</v>
      </c>
      <c r="N7" s="547">
        <f t="shared" si="5"/>
        <v>1.7781173579005417E-2</v>
      </c>
      <c r="O7" s="549">
        <f t="shared" si="5"/>
        <v>12.797664559494661</v>
      </c>
    </row>
    <row r="8" spans="1:15">
      <c r="A8" s="551" t="str">
        <f t="shared" si="3"/>
        <v>SCEResEARAdj1</v>
      </c>
      <c r="B8" s="551" t="s">
        <v>206</v>
      </c>
      <c r="C8" s="551" t="str">
        <f t="shared" ref="C8" si="6">F8</f>
        <v>EARAdj1</v>
      </c>
      <c r="D8" t="str">
        <f t="shared" si="4"/>
        <v>SCE</v>
      </c>
      <c r="E8" t="s">
        <v>414</v>
      </c>
      <c r="F8" t="s">
        <v>399</v>
      </c>
      <c r="G8" s="550">
        <f t="shared" si="5"/>
        <v>21.923689832074565</v>
      </c>
      <c r="H8" s="547">
        <f t="shared" si="5"/>
        <v>3.7311679803414301E-3</v>
      </c>
      <c r="I8" s="549">
        <f t="shared" si="5"/>
        <v>6.6371347570266304</v>
      </c>
      <c r="J8" s="550">
        <f t="shared" si="5"/>
        <v>19.991432423145959</v>
      </c>
      <c r="K8" s="547">
        <f t="shared" si="5"/>
        <v>3.4023192769893013E-3</v>
      </c>
      <c r="L8" s="549">
        <f t="shared" si="5"/>
        <v>6.0521669479327578</v>
      </c>
      <c r="M8" s="550">
        <f t="shared" si="5"/>
        <v>18.059175014217352</v>
      </c>
      <c r="N8" s="547">
        <f t="shared" si="5"/>
        <v>3.0734705736371773E-3</v>
      </c>
      <c r="O8" s="549">
        <f t="shared" si="5"/>
        <v>5.4671991388388861</v>
      </c>
    </row>
    <row r="9" spans="1:15">
      <c r="A9" s="551" t="str">
        <f t="shared" si="3"/>
        <v>PGEResNoRepl</v>
      </c>
      <c r="B9" s="551" t="s">
        <v>206</v>
      </c>
      <c r="C9" s="551" t="s">
        <v>411</v>
      </c>
      <c r="D9" t="s">
        <v>237</v>
      </c>
      <c r="E9" t="str">
        <f t="shared" ref="E9:F20" si="7">E5</f>
        <v>No Replacement</v>
      </c>
      <c r="F9" t="str">
        <f t="shared" si="7"/>
        <v>none</v>
      </c>
      <c r="G9" s="550">
        <f t="shared" si="5"/>
        <v>774.7052119225574</v>
      </c>
      <c r="H9" s="547">
        <f t="shared" si="5"/>
        <v>9.8498626311743553E-2</v>
      </c>
      <c r="I9" s="549">
        <f t="shared" si="5"/>
        <v>20.821012517424585</v>
      </c>
      <c r="J9" s="550">
        <f t="shared" si="5"/>
        <v>706.42610849887433</v>
      </c>
      <c r="K9" s="547">
        <f t="shared" si="5"/>
        <v>8.981739145036953E-2</v>
      </c>
      <c r="L9" s="549">
        <f t="shared" si="5"/>
        <v>18.985940227753265</v>
      </c>
      <c r="M9" s="550">
        <f t="shared" si="5"/>
        <v>638.14700507519137</v>
      </c>
      <c r="N9" s="547">
        <f t="shared" si="5"/>
        <v>8.1136156588995534E-2</v>
      </c>
      <c r="O9" s="549">
        <f t="shared" si="5"/>
        <v>17.150867938081948</v>
      </c>
    </row>
    <row r="10" spans="1:15">
      <c r="A10" s="551" t="str">
        <f t="shared" si="3"/>
        <v>PGERes</v>
      </c>
      <c r="B10" s="551" t="s">
        <v>206</v>
      </c>
      <c r="C10" s="551"/>
      <c r="D10" t="str">
        <f>D9</f>
        <v>PGE</v>
      </c>
      <c r="E10" t="str">
        <f t="shared" si="7"/>
        <v>Acquire Similar</v>
      </c>
      <c r="F10" t="str">
        <f t="shared" si="7"/>
        <v>none</v>
      </c>
      <c r="G10" s="45">
        <v>0</v>
      </c>
      <c r="H10" s="45">
        <v>0</v>
      </c>
      <c r="I10" s="45">
        <v>0</v>
      </c>
      <c r="J10" s="627">
        <v>0</v>
      </c>
      <c r="K10" s="627">
        <v>0</v>
      </c>
      <c r="L10" s="627">
        <v>0</v>
      </c>
      <c r="M10" s="627">
        <v>0</v>
      </c>
      <c r="N10" s="627">
        <v>0</v>
      </c>
      <c r="O10" s="627">
        <v>0</v>
      </c>
    </row>
    <row r="11" spans="1:15">
      <c r="A11" s="551" t="str">
        <f t="shared" si="3"/>
        <v>PGEResWorkpaper</v>
      </c>
      <c r="B11" s="551" t="s">
        <v>206</v>
      </c>
      <c r="C11" s="551" t="str">
        <f>F11</f>
        <v>Workpaper</v>
      </c>
      <c r="D11" t="str">
        <f t="shared" ref="D11:D12" si="8">D10</f>
        <v>PGE</v>
      </c>
      <c r="E11" t="str">
        <f t="shared" si="7"/>
        <v>Acquire New</v>
      </c>
      <c r="F11" t="str">
        <f t="shared" si="7"/>
        <v>Workpaper</v>
      </c>
      <c r="G11" s="550">
        <f t="shared" ref="G11:O13" si="9">VLOOKUP($A11,t.ResAnnualUES,G$2,FALSE)</f>
        <v>362.48290797703737</v>
      </c>
      <c r="H11" s="547">
        <f t="shared" si="9"/>
        <v>4.7229281001334007E-2</v>
      </c>
      <c r="I11" s="549">
        <f t="shared" si="9"/>
        <v>7.4673187574673578</v>
      </c>
      <c r="J11" s="550">
        <f t="shared" si="9"/>
        <v>330.53526185024765</v>
      </c>
      <c r="K11" s="547">
        <f t="shared" si="9"/>
        <v>4.3066700302911348E-2</v>
      </c>
      <c r="L11" s="549">
        <f t="shared" si="9"/>
        <v>6.8091821890126081</v>
      </c>
      <c r="M11" s="550">
        <f t="shared" si="9"/>
        <v>298.58761572345787</v>
      </c>
      <c r="N11" s="547">
        <f t="shared" si="9"/>
        <v>3.8904119604488696E-2</v>
      </c>
      <c r="O11" s="549">
        <f t="shared" si="9"/>
        <v>6.1510456205578574</v>
      </c>
    </row>
    <row r="12" spans="1:15">
      <c r="A12" s="551" t="str">
        <f t="shared" si="3"/>
        <v>PGEResEARAdj1</v>
      </c>
      <c r="B12" s="551" t="s">
        <v>206</v>
      </c>
      <c r="C12" s="551" t="str">
        <f t="shared" ref="C12" si="10">F12</f>
        <v>EARAdj1</v>
      </c>
      <c r="D12" t="str">
        <f t="shared" si="8"/>
        <v>PGE</v>
      </c>
      <c r="E12" t="str">
        <f t="shared" si="7"/>
        <v>Acquire New</v>
      </c>
      <c r="F12" t="str">
        <f t="shared" si="7"/>
        <v>EARAdj1</v>
      </c>
      <c r="G12" s="550">
        <f t="shared" si="9"/>
        <v>90.796437142807406</v>
      </c>
      <c r="H12" s="547">
        <f t="shared" si="9"/>
        <v>1.2709976303436172E-2</v>
      </c>
      <c r="I12" s="549">
        <f t="shared" si="9"/>
        <v>4.0087840835657413</v>
      </c>
      <c r="J12" s="550">
        <f t="shared" si="9"/>
        <v>82.794039292932851</v>
      </c>
      <c r="K12" s="547">
        <f t="shared" si="9"/>
        <v>1.1589775002116373E-2</v>
      </c>
      <c r="L12" s="549">
        <f t="shared" si="9"/>
        <v>3.6554675202684219</v>
      </c>
      <c r="M12" s="550">
        <f t="shared" si="9"/>
        <v>74.79164144305831</v>
      </c>
      <c r="N12" s="547">
        <f t="shared" si="9"/>
        <v>1.0469573700796575E-2</v>
      </c>
      <c r="O12" s="549">
        <f t="shared" si="9"/>
        <v>3.3021509569711025</v>
      </c>
    </row>
    <row r="13" spans="1:15">
      <c r="A13" s="551" t="str">
        <f t="shared" si="3"/>
        <v>SDGEResNoRepl</v>
      </c>
      <c r="B13" s="551" t="s">
        <v>206</v>
      </c>
      <c r="C13" s="551" t="s">
        <v>411</v>
      </c>
      <c r="D13" t="s">
        <v>395</v>
      </c>
      <c r="E13" t="str">
        <f t="shared" si="7"/>
        <v>No Replacement</v>
      </c>
      <c r="F13" t="str">
        <f t="shared" si="7"/>
        <v>none</v>
      </c>
      <c r="G13" s="550">
        <f t="shared" si="9"/>
        <v>455.50745795677142</v>
      </c>
      <c r="H13" s="547">
        <f t="shared" si="9"/>
        <v>5.8515598971287039E-2</v>
      </c>
      <c r="I13" s="549">
        <f t="shared" si="9"/>
        <v>34.109847741733198</v>
      </c>
      <c r="J13" s="550">
        <f t="shared" si="9"/>
        <v>415.36103793346274</v>
      </c>
      <c r="K13" s="547">
        <f t="shared" si="9"/>
        <v>5.3358291943309197E-2</v>
      </c>
      <c r="L13" s="549">
        <f t="shared" si="9"/>
        <v>31.103556076360103</v>
      </c>
      <c r="M13" s="550">
        <f t="shared" si="9"/>
        <v>375.21461791015406</v>
      </c>
      <c r="N13" s="547">
        <f t="shared" si="9"/>
        <v>4.8200984915331341E-2</v>
      </c>
      <c r="O13" s="549">
        <f t="shared" si="9"/>
        <v>28.097264410987005</v>
      </c>
    </row>
    <row r="14" spans="1:15">
      <c r="A14" s="551" t="str">
        <f t="shared" si="3"/>
        <v>SDGERes</v>
      </c>
      <c r="B14" s="551" t="s">
        <v>206</v>
      </c>
      <c r="C14" s="551"/>
      <c r="D14" t="str">
        <f>D13</f>
        <v>SDGE</v>
      </c>
      <c r="E14" t="str">
        <f t="shared" si="7"/>
        <v>Acquire Similar</v>
      </c>
      <c r="F14" t="str">
        <f t="shared" si="7"/>
        <v>none</v>
      </c>
      <c r="G14" s="45">
        <v>0</v>
      </c>
      <c r="H14" s="45">
        <v>0</v>
      </c>
      <c r="I14" s="45">
        <v>0</v>
      </c>
      <c r="J14" s="627">
        <v>0</v>
      </c>
      <c r="K14" s="627">
        <v>0</v>
      </c>
      <c r="L14" s="627">
        <v>0</v>
      </c>
      <c r="M14" s="627">
        <v>0</v>
      </c>
      <c r="N14" s="627">
        <v>0</v>
      </c>
      <c r="O14" s="627">
        <v>0</v>
      </c>
    </row>
    <row r="15" spans="1:15">
      <c r="A15" s="551" t="str">
        <f t="shared" si="3"/>
        <v>SDGEResWorkpaper</v>
      </c>
      <c r="B15" s="551" t="s">
        <v>206</v>
      </c>
      <c r="C15" s="551" t="str">
        <f>F15</f>
        <v>Workpaper</v>
      </c>
      <c r="D15" t="str">
        <f t="shared" ref="D15:D16" si="11">D14</f>
        <v>SDGE</v>
      </c>
      <c r="E15" t="str">
        <f t="shared" si="7"/>
        <v>Acquire New</v>
      </c>
      <c r="F15" t="str">
        <f t="shared" si="7"/>
        <v>Workpaper</v>
      </c>
      <c r="G15" s="550">
        <f t="shared" ref="G15:O17" si="12">VLOOKUP($A15,t.ResAnnualUES,G$2,FALSE)</f>
        <v>192.92768182143982</v>
      </c>
      <c r="H15" s="547">
        <f t="shared" si="12"/>
        <v>2.5574188238547044E-2</v>
      </c>
      <c r="I15" s="549">
        <f t="shared" si="12"/>
        <v>14.400445704737853</v>
      </c>
      <c r="J15" s="550">
        <f t="shared" si="12"/>
        <v>175.92388613548241</v>
      </c>
      <c r="K15" s="547">
        <f t="shared" si="12"/>
        <v>2.3320191987014086E-2</v>
      </c>
      <c r="L15" s="549">
        <f t="shared" si="12"/>
        <v>13.131253879913501</v>
      </c>
      <c r="M15" s="550">
        <f t="shared" si="12"/>
        <v>158.92009044952499</v>
      </c>
      <c r="N15" s="547">
        <f t="shared" si="12"/>
        <v>2.1066195735481123E-2</v>
      </c>
      <c r="O15" s="549">
        <f t="shared" si="12"/>
        <v>11.862062055089147</v>
      </c>
    </row>
    <row r="16" spans="1:15">
      <c r="A16" s="551" t="str">
        <f t="shared" si="3"/>
        <v>SDGEResEARAdj1</v>
      </c>
      <c r="B16" s="551" t="s">
        <v>206</v>
      </c>
      <c r="C16" s="551" t="str">
        <f t="shared" ref="C16" si="13">F16</f>
        <v>EARAdj1</v>
      </c>
      <c r="D16" t="str">
        <f t="shared" si="11"/>
        <v>SDGE</v>
      </c>
      <c r="E16" t="str">
        <f t="shared" si="7"/>
        <v>Acquire New</v>
      </c>
      <c r="F16" t="str">
        <f t="shared" si="7"/>
        <v>EARAdj1</v>
      </c>
      <c r="G16" s="550">
        <f t="shared" si="12"/>
        <v>34.175677304773266</v>
      </c>
      <c r="H16" s="547">
        <f t="shared" si="12"/>
        <v>5.2045200181539165E-3</v>
      </c>
      <c r="I16" s="549">
        <f t="shared" si="12"/>
        <v>6.2419589070483097</v>
      </c>
      <c r="J16" s="550">
        <f t="shared" si="12"/>
        <v>31.163583711810197</v>
      </c>
      <c r="K16" s="547">
        <f t="shared" si="12"/>
        <v>4.7458165589267902E-3</v>
      </c>
      <c r="L16" s="549">
        <f t="shared" si="12"/>
        <v>5.6918201559186281</v>
      </c>
      <c r="M16" s="550">
        <f t="shared" si="12"/>
        <v>28.151490118847128</v>
      </c>
      <c r="N16" s="547">
        <f t="shared" si="12"/>
        <v>4.2871130996996673E-3</v>
      </c>
      <c r="O16" s="549">
        <f t="shared" si="12"/>
        <v>5.1416814047889465</v>
      </c>
    </row>
    <row r="17" spans="1:72">
      <c r="A17" s="551" t="str">
        <f t="shared" si="3"/>
        <v>SCGResNoRepl</v>
      </c>
      <c r="B17" s="551" t="s">
        <v>206</v>
      </c>
      <c r="C17" s="551" t="s">
        <v>411</v>
      </c>
      <c r="D17" t="s">
        <v>301</v>
      </c>
      <c r="E17" t="str">
        <f t="shared" si="7"/>
        <v>No Replacement</v>
      </c>
      <c r="F17" t="str">
        <f t="shared" si="7"/>
        <v>none</v>
      </c>
      <c r="G17" s="550">
        <f t="shared" si="12"/>
        <v>338.13797395959597</v>
      </c>
      <c r="H17" s="547">
        <f t="shared" si="12"/>
        <v>4.2057612493915736E-2</v>
      </c>
      <c r="I17" s="549">
        <f t="shared" si="12"/>
        <v>39.071889785661618</v>
      </c>
      <c r="J17" s="550">
        <f t="shared" si="12"/>
        <v>308.33598303434343</v>
      </c>
      <c r="K17" s="547">
        <f t="shared" si="12"/>
        <v>3.8350839867333321E-2</v>
      </c>
      <c r="L17" s="549">
        <f t="shared" si="12"/>
        <v>35.628265601162624</v>
      </c>
      <c r="M17" s="550">
        <f t="shared" si="12"/>
        <v>278.53399210909089</v>
      </c>
      <c r="N17" s="547">
        <f t="shared" si="12"/>
        <v>3.464406724075092E-2</v>
      </c>
      <c r="O17" s="549">
        <f t="shared" si="12"/>
        <v>32.184641416663638</v>
      </c>
    </row>
    <row r="18" spans="1:72">
      <c r="A18" s="551" t="str">
        <f t="shared" si="3"/>
        <v>SCGRes</v>
      </c>
      <c r="B18" s="551" t="s">
        <v>206</v>
      </c>
      <c r="C18" s="551"/>
      <c r="D18" t="str">
        <f>D17</f>
        <v>SCG</v>
      </c>
      <c r="E18" t="str">
        <f t="shared" si="7"/>
        <v>Acquire Similar</v>
      </c>
      <c r="F18" t="str">
        <f t="shared" si="7"/>
        <v>none</v>
      </c>
      <c r="G18" s="45">
        <v>0</v>
      </c>
      <c r="H18" s="45">
        <v>0</v>
      </c>
      <c r="I18" s="45">
        <v>0</v>
      </c>
      <c r="J18" s="627">
        <v>0</v>
      </c>
      <c r="K18" s="627">
        <v>0</v>
      </c>
      <c r="L18" s="627">
        <v>0</v>
      </c>
      <c r="M18" s="627">
        <v>0</v>
      </c>
      <c r="N18" s="627">
        <v>0</v>
      </c>
      <c r="O18" s="627">
        <v>0</v>
      </c>
    </row>
    <row r="19" spans="1:72">
      <c r="A19" s="551" t="str">
        <f t="shared" si="3"/>
        <v>SCGResWorkpaper</v>
      </c>
      <c r="B19" s="551" t="s">
        <v>206</v>
      </c>
      <c r="C19" s="551" t="str">
        <f>F19</f>
        <v>Workpaper</v>
      </c>
      <c r="D19" t="str">
        <f t="shared" ref="D19:D20" si="14">D18</f>
        <v>SCG</v>
      </c>
      <c r="E19" t="str">
        <f t="shared" si="7"/>
        <v>Acquire New</v>
      </c>
      <c r="F19" t="str">
        <f t="shared" si="7"/>
        <v>Workpaper</v>
      </c>
      <c r="G19" s="550">
        <f t="shared" ref="G19:O20" si="15">VLOOKUP($A19,t.ResAnnualUES,G$2,FALSE)</f>
        <v>127.0741529191919</v>
      </c>
      <c r="H19" s="547">
        <f t="shared" si="15"/>
        <v>1.6716123318772542E-2</v>
      </c>
      <c r="I19" s="549">
        <f t="shared" si="15"/>
        <v>17.077523516300506</v>
      </c>
      <c r="J19" s="550">
        <f t="shared" si="15"/>
        <v>115.87439706868686</v>
      </c>
      <c r="K19" s="547">
        <f t="shared" si="15"/>
        <v>1.524283787372818E-2</v>
      </c>
      <c r="L19" s="549">
        <f t="shared" si="15"/>
        <v>15.572385850457072</v>
      </c>
      <c r="M19" s="550">
        <f t="shared" si="15"/>
        <v>104.6746412181818</v>
      </c>
      <c r="N19" s="547">
        <f t="shared" si="15"/>
        <v>1.3769552428683822E-2</v>
      </c>
      <c r="O19" s="549">
        <f t="shared" si="15"/>
        <v>14.067248184613637</v>
      </c>
    </row>
    <row r="20" spans="1:72">
      <c r="A20" s="551" t="str">
        <f t="shared" si="3"/>
        <v>SCGResEARAdj1</v>
      </c>
      <c r="B20" s="551" t="s">
        <v>206</v>
      </c>
      <c r="C20" s="551" t="str">
        <f t="shared" ref="C20" si="16">F20</f>
        <v>EARAdj1</v>
      </c>
      <c r="D20" t="str">
        <f t="shared" si="14"/>
        <v>SCG</v>
      </c>
      <c r="E20" t="str">
        <f t="shared" si="7"/>
        <v>Acquire New</v>
      </c>
      <c r="F20" t="str">
        <f t="shared" si="7"/>
        <v>EARAdj1</v>
      </c>
      <c r="G20" s="550">
        <f t="shared" si="15"/>
        <v>8.6332185811005004</v>
      </c>
      <c r="H20" s="547">
        <f t="shared" si="15"/>
        <v>2.002891806368473E-3</v>
      </c>
      <c r="I20" s="549">
        <f t="shared" si="15"/>
        <v>7.2187464130902494</v>
      </c>
      <c r="J20" s="550">
        <f t="shared" si="15"/>
        <v>7.8723247400543555</v>
      </c>
      <c r="K20" s="547">
        <f t="shared" si="15"/>
        <v>1.8263657488580319E-3</v>
      </c>
      <c r="L20" s="549">
        <f t="shared" si="15"/>
        <v>6.5825179156653464</v>
      </c>
      <c r="M20" s="550">
        <f t="shared" si="15"/>
        <v>7.1114308990082096</v>
      </c>
      <c r="N20" s="547">
        <f t="shared" si="15"/>
        <v>1.6498396913475905E-3</v>
      </c>
      <c r="O20" s="549">
        <f t="shared" si="15"/>
        <v>5.9462894182404424</v>
      </c>
    </row>
    <row r="21" spans="1:72" ht="15" thickBot="1"/>
    <row r="22" spans="1:72">
      <c r="D22" s="569"/>
      <c r="E22" s="570"/>
      <c r="F22" s="570"/>
      <c r="G22" s="570"/>
      <c r="H22" s="570"/>
      <c r="I22" s="570"/>
      <c r="J22" s="570"/>
      <c r="K22" s="570"/>
      <c r="L22" s="570"/>
      <c r="M22" s="570"/>
      <c r="N22" s="570"/>
      <c r="O22" s="570"/>
      <c r="P22" s="570"/>
      <c r="Q22" s="570"/>
      <c r="R22" s="570"/>
      <c r="S22" s="570"/>
      <c r="T22" s="570"/>
      <c r="U22" s="570"/>
      <c r="V22" s="570"/>
      <c r="W22" s="570"/>
      <c r="X22" s="570"/>
      <c r="Y22" s="570"/>
      <c r="Z22" s="570"/>
      <c r="AA22" s="570"/>
      <c r="AB22" s="570"/>
      <c r="AC22" s="570"/>
      <c r="AD22" s="570"/>
      <c r="AE22" s="570"/>
      <c r="AF22" s="570"/>
      <c r="AG22" s="570"/>
      <c r="AH22" s="570"/>
      <c r="AI22" s="570"/>
      <c r="AJ22" s="570"/>
      <c r="AK22" s="570"/>
      <c r="AL22" s="571"/>
      <c r="AN22" s="569"/>
      <c r="AO22" s="570"/>
      <c r="AP22" s="570"/>
      <c r="AQ22" s="570"/>
      <c r="AR22" s="570"/>
      <c r="AS22" s="570"/>
      <c r="AT22" s="570"/>
      <c r="AU22" s="570"/>
      <c r="AV22" s="570"/>
      <c r="AW22" s="570"/>
      <c r="AX22" s="570"/>
      <c r="AY22" s="570"/>
      <c r="AZ22" s="570"/>
      <c r="BA22" s="570"/>
      <c r="BB22" s="570"/>
      <c r="BC22" s="570"/>
      <c r="BD22" s="570"/>
      <c r="BE22" s="570"/>
      <c r="BF22" s="570"/>
      <c r="BG22" s="570"/>
      <c r="BH22" s="570"/>
      <c r="BI22" s="570"/>
      <c r="BJ22" s="570"/>
      <c r="BK22" s="570"/>
      <c r="BL22" s="570"/>
      <c r="BM22" s="570"/>
      <c r="BN22" s="570"/>
      <c r="BO22" s="570"/>
      <c r="BP22" s="570"/>
      <c r="BQ22" s="570"/>
      <c r="BR22" s="570"/>
      <c r="BS22" s="570"/>
      <c r="BT22" s="571"/>
    </row>
    <row r="23" spans="1:72" ht="18">
      <c r="D23" s="572"/>
      <c r="E23" s="632" t="s">
        <v>425</v>
      </c>
      <c r="F23" s="632"/>
      <c r="G23" s="632"/>
      <c r="H23" s="632"/>
      <c r="I23" s="632"/>
      <c r="J23" s="632"/>
      <c r="K23" s="632"/>
      <c r="L23" s="632"/>
      <c r="M23" s="632"/>
      <c r="N23" s="632"/>
      <c r="O23" s="632"/>
      <c r="P23" s="632"/>
      <c r="Q23" s="632"/>
      <c r="R23" s="632"/>
      <c r="S23" s="632"/>
      <c r="T23" s="632"/>
      <c r="U23" s="632"/>
      <c r="V23" s="632"/>
      <c r="W23" s="632"/>
      <c r="X23" s="632"/>
      <c r="Y23" s="632"/>
      <c r="Z23" s="632"/>
      <c r="AA23" s="632"/>
      <c r="AB23" s="632"/>
      <c r="AC23" s="632"/>
      <c r="AD23" s="632"/>
      <c r="AE23" s="632"/>
      <c r="AF23" s="632"/>
      <c r="AG23" s="632"/>
      <c r="AH23" s="632"/>
      <c r="AI23" s="632"/>
      <c r="AJ23" s="632"/>
      <c r="AK23" s="632"/>
      <c r="AL23" s="573"/>
      <c r="AN23" s="572"/>
      <c r="AO23" s="632" t="s">
        <v>452</v>
      </c>
      <c r="AP23" s="632"/>
      <c r="AQ23" s="632"/>
      <c r="AR23" s="632"/>
      <c r="AS23" s="632"/>
      <c r="AT23" s="632"/>
      <c r="AU23" s="632"/>
      <c r="AV23" s="632"/>
      <c r="AW23" s="632"/>
      <c r="AX23" s="632"/>
      <c r="AY23" s="632"/>
      <c r="AZ23" s="632"/>
      <c r="BA23" s="632"/>
      <c r="BB23" s="632"/>
      <c r="BC23" s="632"/>
      <c r="BD23" s="632"/>
      <c r="BE23" s="632"/>
      <c r="BF23" s="632"/>
      <c r="BG23" s="632"/>
      <c r="BH23" s="14"/>
      <c r="BT23" s="573"/>
    </row>
    <row r="24" spans="1:72" ht="15" thickBot="1">
      <c r="D24" s="572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573"/>
      <c r="AN24" s="572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T24" s="573"/>
    </row>
    <row r="25" spans="1:72" ht="15" thickBot="1">
      <c r="D25" s="572"/>
      <c r="E25" s="14"/>
      <c r="F25" s="14"/>
      <c r="G25" s="14"/>
      <c r="H25" s="14"/>
      <c r="J25" s="11"/>
      <c r="K25" s="12"/>
      <c r="L25" s="12"/>
      <c r="M25" s="581" t="s">
        <v>428</v>
      </c>
      <c r="N25" s="582">
        <f>'SCE Savings'!H11</f>
        <v>312.46448151838678</v>
      </c>
      <c r="O25" s="583">
        <f>'PG&amp;E Savings'!H11</f>
        <v>596.15979140244656</v>
      </c>
      <c r="P25" s="583">
        <f>'SDG&amp;E Savings'!H11</f>
        <v>326.00651416858022</v>
      </c>
      <c r="Q25" s="584">
        <f>'SCG Savings'!H11</f>
        <v>246.51619054292934</v>
      </c>
      <c r="R25" s="630"/>
      <c r="S25" s="630"/>
      <c r="T25" s="630"/>
      <c r="U25" s="630"/>
      <c r="V25" s="630"/>
      <c r="W25" s="630"/>
      <c r="X25" s="630"/>
      <c r="Y25" s="630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573"/>
      <c r="AN25" s="572"/>
      <c r="AO25" s="14"/>
      <c r="AP25" s="14"/>
      <c r="AQ25" s="14"/>
      <c r="AR25" s="14"/>
      <c r="AS25" s="14"/>
      <c r="AT25" s="14"/>
      <c r="AU25" s="636"/>
      <c r="AV25" s="630"/>
      <c r="AW25" s="630"/>
      <c r="AX25" s="630"/>
      <c r="AY25" s="630"/>
      <c r="AZ25" s="14"/>
      <c r="BA25" s="14"/>
      <c r="BB25" s="14"/>
      <c r="BC25" s="14"/>
      <c r="BD25" s="14"/>
      <c r="BE25" s="14"/>
      <c r="BF25" s="14"/>
      <c r="BG25" s="14"/>
      <c r="BH25" s="14"/>
      <c r="BT25" s="573"/>
    </row>
    <row r="26" spans="1:72">
      <c r="D26" s="572"/>
      <c r="E26" s="14"/>
      <c r="F26" s="14"/>
      <c r="G26" s="14"/>
      <c r="H26" s="14"/>
      <c r="I26" s="14"/>
      <c r="J26" s="14"/>
      <c r="K26" s="14"/>
      <c r="L26" s="14"/>
      <c r="M26" s="14"/>
      <c r="N26" s="574" t="s">
        <v>206</v>
      </c>
      <c r="O26" s="574" t="s">
        <v>206</v>
      </c>
      <c r="P26" s="574" t="s">
        <v>206</v>
      </c>
      <c r="Q26" s="574" t="s">
        <v>206</v>
      </c>
      <c r="R26" s="574" t="s">
        <v>206</v>
      </c>
      <c r="S26" s="574" t="s">
        <v>206</v>
      </c>
      <c r="T26" s="574" t="s">
        <v>206</v>
      </c>
      <c r="U26" s="574" t="s">
        <v>206</v>
      </c>
      <c r="V26" s="574" t="s">
        <v>206</v>
      </c>
      <c r="W26" s="574" t="s">
        <v>206</v>
      </c>
      <c r="X26" s="574" t="s">
        <v>206</v>
      </c>
      <c r="Y26" s="574" t="s">
        <v>206</v>
      </c>
      <c r="Z26" s="574" t="s">
        <v>206</v>
      </c>
      <c r="AA26" s="574" t="s">
        <v>206</v>
      </c>
      <c r="AB26" s="574" t="s">
        <v>206</v>
      </c>
      <c r="AC26" s="574" t="s">
        <v>206</v>
      </c>
      <c r="AD26" s="574" t="s">
        <v>206</v>
      </c>
      <c r="AE26" s="574" t="s">
        <v>206</v>
      </c>
      <c r="AF26" s="574" t="s">
        <v>206</v>
      </c>
      <c r="AG26" s="574" t="s">
        <v>206</v>
      </c>
      <c r="AH26" s="574" t="s">
        <v>206</v>
      </c>
      <c r="AI26" s="574" t="s">
        <v>206</v>
      </c>
      <c r="AJ26" s="574" t="s">
        <v>206</v>
      </c>
      <c r="AK26" s="574" t="s">
        <v>206</v>
      </c>
      <c r="AL26" s="573"/>
      <c r="AN26" s="572"/>
      <c r="AO26" s="14"/>
      <c r="AP26" s="14"/>
      <c r="AQ26" s="14"/>
      <c r="AR26" s="14"/>
      <c r="AS26" s="14"/>
      <c r="AT26" s="14"/>
      <c r="AU26" s="14"/>
      <c r="AV26" s="574" t="s">
        <v>387</v>
      </c>
      <c r="AW26" s="574" t="s">
        <v>387</v>
      </c>
      <c r="AX26" s="574" t="s">
        <v>387</v>
      </c>
      <c r="AY26" s="574" t="s">
        <v>387</v>
      </c>
      <c r="AZ26" s="574" t="s">
        <v>387</v>
      </c>
      <c r="BA26" s="574" t="s">
        <v>387</v>
      </c>
      <c r="BB26" s="574" t="s">
        <v>387</v>
      </c>
      <c r="BC26" s="574" t="s">
        <v>387</v>
      </c>
      <c r="BD26" s="574" t="s">
        <v>387</v>
      </c>
      <c r="BE26" s="574" t="s">
        <v>387</v>
      </c>
      <c r="BF26" s="574" t="s">
        <v>387</v>
      </c>
      <c r="BG26" s="574" t="s">
        <v>387</v>
      </c>
      <c r="BH26" s="574" t="s">
        <v>387</v>
      </c>
      <c r="BI26" s="574" t="s">
        <v>387</v>
      </c>
      <c r="BJ26" s="574" t="s">
        <v>387</v>
      </c>
      <c r="BK26" s="574" t="s">
        <v>387</v>
      </c>
      <c r="BL26" s="574" t="s">
        <v>387</v>
      </c>
      <c r="BM26" s="574" t="s">
        <v>387</v>
      </c>
      <c r="BN26" s="574" t="s">
        <v>387</v>
      </c>
      <c r="BO26" s="574" t="s">
        <v>387</v>
      </c>
      <c r="BP26" s="574" t="s">
        <v>387</v>
      </c>
      <c r="BQ26" s="574" t="s">
        <v>387</v>
      </c>
      <c r="BR26" s="574" t="s">
        <v>387</v>
      </c>
      <c r="BS26" s="574" t="s">
        <v>387</v>
      </c>
      <c r="BT26" s="573"/>
    </row>
    <row r="27" spans="1:72">
      <c r="D27" s="572"/>
      <c r="E27" s="14"/>
      <c r="F27" s="14"/>
      <c r="G27" s="14"/>
      <c r="H27" s="14"/>
      <c r="I27" s="14"/>
      <c r="J27" s="14"/>
      <c r="K27" s="575"/>
      <c r="L27" s="575"/>
      <c r="M27" s="575"/>
      <c r="N27" s="574" t="s">
        <v>345</v>
      </c>
      <c r="O27" s="574" t="s">
        <v>345</v>
      </c>
      <c r="P27" s="574" t="s">
        <v>345</v>
      </c>
      <c r="Q27" s="574" t="s">
        <v>345</v>
      </c>
      <c r="R27" s="574" t="s">
        <v>345</v>
      </c>
      <c r="S27" s="574" t="s">
        <v>345</v>
      </c>
      <c r="T27" s="574" t="s">
        <v>345</v>
      </c>
      <c r="U27" s="574" t="s">
        <v>345</v>
      </c>
      <c r="V27" s="574" t="s">
        <v>345</v>
      </c>
      <c r="W27" s="574" t="s">
        <v>345</v>
      </c>
      <c r="X27" s="574" t="s">
        <v>345</v>
      </c>
      <c r="Y27" s="574" t="s">
        <v>345</v>
      </c>
      <c r="Z27" s="574" t="s">
        <v>399</v>
      </c>
      <c r="AA27" s="574" t="s">
        <v>399</v>
      </c>
      <c r="AB27" s="574" t="s">
        <v>399</v>
      </c>
      <c r="AC27" s="574" t="s">
        <v>399</v>
      </c>
      <c r="AD27" s="574" t="s">
        <v>399</v>
      </c>
      <c r="AE27" s="574" t="s">
        <v>399</v>
      </c>
      <c r="AF27" s="574" t="s">
        <v>399</v>
      </c>
      <c r="AG27" s="574" t="s">
        <v>399</v>
      </c>
      <c r="AH27" s="574" t="s">
        <v>399</v>
      </c>
      <c r="AI27" s="574" t="s">
        <v>399</v>
      </c>
      <c r="AJ27" s="574" t="s">
        <v>399</v>
      </c>
      <c r="AK27" s="574" t="s">
        <v>399</v>
      </c>
      <c r="AL27" s="573"/>
      <c r="AN27" s="572"/>
      <c r="AO27" s="14"/>
      <c r="AP27" s="14"/>
      <c r="AQ27" s="14"/>
      <c r="AR27" s="14"/>
      <c r="AS27" s="14"/>
      <c r="AT27" s="14"/>
      <c r="AU27" s="575"/>
      <c r="AV27" s="574" t="s">
        <v>345</v>
      </c>
      <c r="AW27" s="574" t="s">
        <v>345</v>
      </c>
      <c r="AX27" s="574" t="s">
        <v>345</v>
      </c>
      <c r="AY27" s="574" t="s">
        <v>345</v>
      </c>
      <c r="AZ27" s="574" t="s">
        <v>345</v>
      </c>
      <c r="BA27" s="574" t="s">
        <v>345</v>
      </c>
      <c r="BB27" s="574" t="s">
        <v>345</v>
      </c>
      <c r="BC27" s="574" t="s">
        <v>345</v>
      </c>
      <c r="BD27" s="574" t="s">
        <v>345</v>
      </c>
      <c r="BE27" s="574" t="s">
        <v>345</v>
      </c>
      <c r="BF27" s="574" t="s">
        <v>345</v>
      </c>
      <c r="BG27" s="574" t="s">
        <v>345</v>
      </c>
      <c r="BH27" s="574" t="s">
        <v>399</v>
      </c>
      <c r="BI27" s="574" t="s">
        <v>399</v>
      </c>
      <c r="BJ27" s="574" t="s">
        <v>399</v>
      </c>
      <c r="BK27" s="574" t="s">
        <v>399</v>
      </c>
      <c r="BL27" s="574" t="s">
        <v>399</v>
      </c>
      <c r="BM27" s="574" t="s">
        <v>399</v>
      </c>
      <c r="BN27" s="574" t="s">
        <v>399</v>
      </c>
      <c r="BO27" s="574" t="s">
        <v>399</v>
      </c>
      <c r="BP27" s="574" t="s">
        <v>399</v>
      </c>
      <c r="BQ27" s="574" t="s">
        <v>399</v>
      </c>
      <c r="BR27" s="574" t="s">
        <v>399</v>
      </c>
      <c r="BS27" s="574" t="s">
        <v>399</v>
      </c>
      <c r="BT27" s="573"/>
    </row>
    <row r="28" spans="1:72">
      <c r="D28" s="572"/>
      <c r="E28" s="14"/>
      <c r="F28" s="14"/>
      <c r="G28" s="14"/>
      <c r="H28" s="14"/>
      <c r="I28" s="14"/>
      <c r="J28" s="14"/>
      <c r="K28" s="657"/>
      <c r="L28" s="638" t="s">
        <v>458</v>
      </c>
      <c r="M28" s="658"/>
      <c r="N28" s="856" t="s">
        <v>454</v>
      </c>
      <c r="O28" s="857"/>
      <c r="P28" s="857"/>
      <c r="Q28" s="858"/>
      <c r="R28" s="856" t="s">
        <v>455</v>
      </c>
      <c r="S28" s="857"/>
      <c r="T28" s="857"/>
      <c r="U28" s="858"/>
      <c r="V28" s="856" t="s">
        <v>456</v>
      </c>
      <c r="W28" s="857"/>
      <c r="X28" s="857"/>
      <c r="Y28" s="858"/>
      <c r="Z28" s="856" t="s">
        <v>454</v>
      </c>
      <c r="AA28" s="857"/>
      <c r="AB28" s="857"/>
      <c r="AC28" s="858"/>
      <c r="AD28" s="856" t="s">
        <v>455</v>
      </c>
      <c r="AE28" s="857"/>
      <c r="AF28" s="857"/>
      <c r="AG28" s="858"/>
      <c r="AH28" s="856" t="s">
        <v>456</v>
      </c>
      <c r="AI28" s="857"/>
      <c r="AJ28" s="857"/>
      <c r="AK28" s="858"/>
      <c r="AL28" s="573"/>
      <c r="AN28" s="572"/>
      <c r="AO28" s="14" t="s">
        <v>427</v>
      </c>
      <c r="AP28" s="14"/>
      <c r="AQ28" s="14"/>
      <c r="AR28" s="14"/>
      <c r="AS28" s="14"/>
      <c r="AT28" s="14"/>
      <c r="AU28" s="575"/>
      <c r="AV28" s="856" t="s">
        <v>454</v>
      </c>
      <c r="AW28" s="857"/>
      <c r="AX28" s="857"/>
      <c r="AY28" s="858"/>
      <c r="AZ28" s="856" t="s">
        <v>455</v>
      </c>
      <c r="BA28" s="857"/>
      <c r="BB28" s="857"/>
      <c r="BC28" s="858"/>
      <c r="BD28" s="856" t="s">
        <v>456</v>
      </c>
      <c r="BE28" s="857"/>
      <c r="BF28" s="857"/>
      <c r="BG28" s="858"/>
      <c r="BH28" s="856" t="s">
        <v>454</v>
      </c>
      <c r="BI28" s="857"/>
      <c r="BJ28" s="857"/>
      <c r="BK28" s="858"/>
      <c r="BL28" s="856" t="s">
        <v>455</v>
      </c>
      <c r="BM28" s="857"/>
      <c r="BN28" s="857"/>
      <c r="BO28" s="858"/>
      <c r="BP28" s="856" t="s">
        <v>456</v>
      </c>
      <c r="BQ28" s="857"/>
      <c r="BR28" s="857"/>
      <c r="BS28" s="858"/>
      <c r="BT28" s="573"/>
    </row>
    <row r="29" spans="1:72" ht="14.4" customHeight="1">
      <c r="D29" s="572"/>
      <c r="E29" s="867" t="s">
        <v>332</v>
      </c>
      <c r="F29" s="868"/>
      <c r="G29" s="868"/>
      <c r="H29" s="868"/>
      <c r="I29" s="868"/>
      <c r="J29" s="869"/>
      <c r="K29" s="873" t="s">
        <v>469</v>
      </c>
      <c r="L29" s="865" t="s">
        <v>459</v>
      </c>
      <c r="M29" s="866"/>
      <c r="N29" s="853" t="s">
        <v>423</v>
      </c>
      <c r="O29" s="854"/>
      <c r="P29" s="854"/>
      <c r="Q29" s="855"/>
      <c r="R29" s="853" t="s">
        <v>423</v>
      </c>
      <c r="S29" s="854"/>
      <c r="T29" s="854"/>
      <c r="U29" s="855"/>
      <c r="V29" s="853" t="s">
        <v>423</v>
      </c>
      <c r="W29" s="854"/>
      <c r="X29" s="854"/>
      <c r="Y29" s="855"/>
      <c r="Z29" s="853" t="s">
        <v>424</v>
      </c>
      <c r="AA29" s="854"/>
      <c r="AB29" s="854"/>
      <c r="AC29" s="855"/>
      <c r="AD29" s="853" t="s">
        <v>424</v>
      </c>
      <c r="AE29" s="854"/>
      <c r="AF29" s="854"/>
      <c r="AG29" s="855"/>
      <c r="AH29" s="853" t="s">
        <v>424</v>
      </c>
      <c r="AI29" s="854"/>
      <c r="AJ29" s="854"/>
      <c r="AK29" s="855"/>
      <c r="AL29" s="573"/>
      <c r="AN29" s="572"/>
      <c r="AO29" s="867" t="s">
        <v>332</v>
      </c>
      <c r="AP29" s="868"/>
      <c r="AQ29" s="868"/>
      <c r="AR29" s="868"/>
      <c r="AS29" s="868"/>
      <c r="AT29" s="869"/>
      <c r="AU29" s="873" t="s">
        <v>462</v>
      </c>
      <c r="AV29" s="853" t="s">
        <v>423</v>
      </c>
      <c r="AW29" s="854"/>
      <c r="AX29" s="854"/>
      <c r="AY29" s="855"/>
      <c r="AZ29" s="853" t="s">
        <v>423</v>
      </c>
      <c r="BA29" s="854"/>
      <c r="BB29" s="854"/>
      <c r="BC29" s="855"/>
      <c r="BD29" s="853" t="s">
        <v>423</v>
      </c>
      <c r="BE29" s="854"/>
      <c r="BF29" s="854"/>
      <c r="BG29" s="855"/>
      <c r="BH29" s="853" t="s">
        <v>424</v>
      </c>
      <c r="BI29" s="854"/>
      <c r="BJ29" s="854"/>
      <c r="BK29" s="855"/>
      <c r="BL29" s="853" t="s">
        <v>424</v>
      </c>
      <c r="BM29" s="854"/>
      <c r="BN29" s="854"/>
      <c r="BO29" s="855"/>
      <c r="BP29" s="853" t="s">
        <v>424</v>
      </c>
      <c r="BQ29" s="854"/>
      <c r="BR29" s="854"/>
      <c r="BS29" s="855"/>
      <c r="BT29" s="573"/>
    </row>
    <row r="30" spans="1:72">
      <c r="D30" s="572"/>
      <c r="E30" s="870"/>
      <c r="F30" s="871"/>
      <c r="G30" s="871"/>
      <c r="H30" s="871"/>
      <c r="I30" s="871"/>
      <c r="J30" s="872"/>
      <c r="K30" s="874"/>
      <c r="L30" s="631" t="s">
        <v>460</v>
      </c>
      <c r="M30" s="639" t="s">
        <v>461</v>
      </c>
      <c r="N30" s="517" t="s">
        <v>16</v>
      </c>
      <c r="O30" s="555" t="s">
        <v>237</v>
      </c>
      <c r="P30" s="555" t="s">
        <v>395</v>
      </c>
      <c r="Q30" s="507" t="s">
        <v>301</v>
      </c>
      <c r="R30" s="517" t="s">
        <v>16</v>
      </c>
      <c r="S30" s="555" t="s">
        <v>237</v>
      </c>
      <c r="T30" s="555" t="s">
        <v>395</v>
      </c>
      <c r="U30" s="507" t="s">
        <v>301</v>
      </c>
      <c r="V30" s="517" t="s">
        <v>16</v>
      </c>
      <c r="W30" s="555" t="s">
        <v>237</v>
      </c>
      <c r="X30" s="555" t="s">
        <v>395</v>
      </c>
      <c r="Y30" s="507" t="s">
        <v>301</v>
      </c>
      <c r="Z30" s="517" t="s">
        <v>16</v>
      </c>
      <c r="AA30" s="555" t="s">
        <v>237</v>
      </c>
      <c r="AB30" s="555" t="s">
        <v>395</v>
      </c>
      <c r="AC30" s="507" t="s">
        <v>301</v>
      </c>
      <c r="AD30" s="517" t="s">
        <v>16</v>
      </c>
      <c r="AE30" s="555" t="s">
        <v>237</v>
      </c>
      <c r="AF30" s="555" t="s">
        <v>395</v>
      </c>
      <c r="AG30" s="507" t="s">
        <v>301</v>
      </c>
      <c r="AH30" s="517" t="s">
        <v>16</v>
      </c>
      <c r="AI30" s="555" t="s">
        <v>237</v>
      </c>
      <c r="AJ30" s="555" t="s">
        <v>395</v>
      </c>
      <c r="AK30" s="507" t="s">
        <v>301</v>
      </c>
      <c r="AL30" s="573"/>
      <c r="AN30" s="572"/>
      <c r="AO30" s="870"/>
      <c r="AP30" s="871"/>
      <c r="AQ30" s="871"/>
      <c r="AR30" s="871"/>
      <c r="AS30" s="871"/>
      <c r="AT30" s="872"/>
      <c r="AU30" s="874"/>
      <c r="AV30" s="517" t="s">
        <v>16</v>
      </c>
      <c r="AW30" s="555" t="s">
        <v>237</v>
      </c>
      <c r="AX30" s="555" t="s">
        <v>395</v>
      </c>
      <c r="AY30" s="507" t="s">
        <v>301</v>
      </c>
      <c r="AZ30" s="517" t="s">
        <v>16</v>
      </c>
      <c r="BA30" s="555" t="s">
        <v>237</v>
      </c>
      <c r="BB30" s="555" t="s">
        <v>395</v>
      </c>
      <c r="BC30" s="507" t="s">
        <v>301</v>
      </c>
      <c r="BD30" s="517" t="s">
        <v>16</v>
      </c>
      <c r="BE30" s="555" t="s">
        <v>237</v>
      </c>
      <c r="BF30" s="555" t="s">
        <v>395</v>
      </c>
      <c r="BG30" s="507" t="s">
        <v>301</v>
      </c>
      <c r="BH30" s="517" t="s">
        <v>16</v>
      </c>
      <c r="BI30" s="555" t="s">
        <v>237</v>
      </c>
      <c r="BJ30" s="555" t="s">
        <v>395</v>
      </c>
      <c r="BK30" s="507" t="s">
        <v>301</v>
      </c>
      <c r="BL30" s="517" t="s">
        <v>16</v>
      </c>
      <c r="BM30" s="555" t="s">
        <v>237</v>
      </c>
      <c r="BN30" s="555" t="s">
        <v>395</v>
      </c>
      <c r="BO30" s="507" t="s">
        <v>301</v>
      </c>
      <c r="BP30" s="517" t="s">
        <v>16</v>
      </c>
      <c r="BQ30" s="555" t="s">
        <v>237</v>
      </c>
      <c r="BR30" s="555" t="s">
        <v>395</v>
      </c>
      <c r="BS30" s="507" t="s">
        <v>301</v>
      </c>
      <c r="BT30" s="573"/>
    </row>
    <row r="31" spans="1:72">
      <c r="D31" s="572"/>
      <c r="E31" s="477" t="s">
        <v>333</v>
      </c>
      <c r="F31" s="478"/>
      <c r="G31" s="478"/>
      <c r="H31" s="478"/>
      <c r="I31" s="478"/>
      <c r="J31" s="479"/>
      <c r="K31" s="531">
        <v>0</v>
      </c>
      <c r="L31" s="531">
        <v>0</v>
      </c>
      <c r="M31" s="531">
        <v>0</v>
      </c>
      <c r="N31" s="561">
        <f t="shared" ref="N31:AK31" si="17">VLOOKUP(N$30&amp;N$26&amp;N$27,t.ResUESSummary,N$53,FALSE)</f>
        <v>164.58798515355221</v>
      </c>
      <c r="O31" s="562">
        <f t="shared" si="17"/>
        <v>362.48290797703737</v>
      </c>
      <c r="P31" s="562">
        <f t="shared" si="17"/>
        <v>192.92768182143982</v>
      </c>
      <c r="Q31" s="563">
        <f t="shared" si="17"/>
        <v>127.0741529191919</v>
      </c>
      <c r="R31" s="561">
        <f t="shared" si="17"/>
        <v>150.08192544510354</v>
      </c>
      <c r="S31" s="562">
        <f t="shared" si="17"/>
        <v>330.53526185024765</v>
      </c>
      <c r="T31" s="562">
        <f t="shared" si="17"/>
        <v>175.92388613548241</v>
      </c>
      <c r="U31" s="563">
        <f t="shared" si="17"/>
        <v>115.87439706868686</v>
      </c>
      <c r="V31" s="561">
        <f t="shared" si="17"/>
        <v>135.57586573665486</v>
      </c>
      <c r="W31" s="562">
        <f t="shared" si="17"/>
        <v>298.58761572345787</v>
      </c>
      <c r="X31" s="562">
        <f t="shared" si="17"/>
        <v>158.92009044952499</v>
      </c>
      <c r="Y31" s="563">
        <f t="shared" si="17"/>
        <v>104.6746412181818</v>
      </c>
      <c r="Z31" s="561">
        <f t="shared" si="17"/>
        <v>21.923689832074565</v>
      </c>
      <c r="AA31" s="562">
        <f t="shared" si="17"/>
        <v>90.796437142807406</v>
      </c>
      <c r="AB31" s="562">
        <f t="shared" si="17"/>
        <v>34.175677304773266</v>
      </c>
      <c r="AC31" s="563">
        <f t="shared" si="17"/>
        <v>8.6332185811005004</v>
      </c>
      <c r="AD31" s="561">
        <f t="shared" si="17"/>
        <v>19.991432423145959</v>
      </c>
      <c r="AE31" s="562">
        <f t="shared" si="17"/>
        <v>82.794039292932851</v>
      </c>
      <c r="AF31" s="562">
        <f t="shared" si="17"/>
        <v>31.163583711810197</v>
      </c>
      <c r="AG31" s="563">
        <f t="shared" si="17"/>
        <v>7.8723247400543555</v>
      </c>
      <c r="AH31" s="561">
        <f t="shared" si="17"/>
        <v>18.059175014217352</v>
      </c>
      <c r="AI31" s="562">
        <f t="shared" si="17"/>
        <v>74.79164144305831</v>
      </c>
      <c r="AJ31" s="562">
        <f t="shared" si="17"/>
        <v>28.151490118847128</v>
      </c>
      <c r="AK31" s="563">
        <f t="shared" si="17"/>
        <v>7.1114308990082096</v>
      </c>
      <c r="AL31" s="573"/>
      <c r="AN31" s="572"/>
      <c r="AO31" s="477" t="s">
        <v>333</v>
      </c>
      <c r="AP31" s="478"/>
      <c r="AQ31" s="478"/>
      <c r="AR31" s="478"/>
      <c r="AS31" s="478"/>
      <c r="AT31" s="479"/>
      <c r="AU31" s="646">
        <v>1</v>
      </c>
      <c r="AV31" s="561">
        <f t="shared" ref="AV31:AV39" si="18">N31*$AU31</f>
        <v>164.58798515355221</v>
      </c>
      <c r="AW31" s="562">
        <f t="shared" ref="AW31:AW39" si="19">O31*$AU31</f>
        <v>362.48290797703737</v>
      </c>
      <c r="AX31" s="562">
        <f t="shared" ref="AX31:AX39" si="20">P31*$AU31</f>
        <v>192.92768182143982</v>
      </c>
      <c r="AY31" s="563">
        <f t="shared" ref="AY31:AY39" si="21">Q31*$AU31</f>
        <v>127.0741529191919</v>
      </c>
      <c r="AZ31" s="561">
        <f t="shared" ref="AZ31:AZ39" si="22">R31*$AU31</f>
        <v>150.08192544510354</v>
      </c>
      <c r="BA31" s="562">
        <f t="shared" ref="BA31:BA39" si="23">S31*$AU31</f>
        <v>330.53526185024765</v>
      </c>
      <c r="BB31" s="562">
        <f t="shared" ref="BB31:BB39" si="24">T31*$AU31</f>
        <v>175.92388613548241</v>
      </c>
      <c r="BC31" s="563">
        <f t="shared" ref="BC31:BC39" si="25">U31*$AU31</f>
        <v>115.87439706868686</v>
      </c>
      <c r="BD31" s="561">
        <f t="shared" ref="BD31:BD39" si="26">V31*$AU31</f>
        <v>135.57586573665486</v>
      </c>
      <c r="BE31" s="562">
        <f t="shared" ref="BE31:BE39" si="27">W31*$AU31</f>
        <v>298.58761572345787</v>
      </c>
      <c r="BF31" s="562">
        <f t="shared" ref="BF31:BF39" si="28">X31*$AU31</f>
        <v>158.92009044952499</v>
      </c>
      <c r="BG31" s="563">
        <f t="shared" ref="BG31:BG39" si="29">Y31*$AU31</f>
        <v>104.6746412181818</v>
      </c>
      <c r="BH31" s="561">
        <f t="shared" ref="BH31:BH39" si="30">Z31*$AU31</f>
        <v>21.923689832074565</v>
      </c>
      <c r="BI31" s="562">
        <f t="shared" ref="BI31:BI39" si="31">AA31*$AU31</f>
        <v>90.796437142807406</v>
      </c>
      <c r="BJ31" s="562">
        <f t="shared" ref="BJ31:BJ39" si="32">AB31*$AU31</f>
        <v>34.175677304773266</v>
      </c>
      <c r="BK31" s="563">
        <f t="shared" ref="BK31:BK39" si="33">AC31*$AU31</f>
        <v>8.6332185811005004</v>
      </c>
      <c r="BL31" s="561">
        <f t="shared" ref="BL31:BL39" si="34">AD31*$AU31</f>
        <v>19.991432423145959</v>
      </c>
      <c r="BM31" s="562">
        <f t="shared" ref="BM31:BM39" si="35">AE31*$AU31</f>
        <v>82.794039292932851</v>
      </c>
      <c r="BN31" s="562">
        <f t="shared" ref="BN31:BN39" si="36">AF31*$AU31</f>
        <v>31.163583711810197</v>
      </c>
      <c r="BO31" s="563">
        <f t="shared" ref="BO31:BO39" si="37">AG31*$AU31</f>
        <v>7.8723247400543555</v>
      </c>
      <c r="BP31" s="561">
        <f t="shared" ref="BP31:BP39" si="38">AH31*$AU31</f>
        <v>18.059175014217352</v>
      </c>
      <c r="BQ31" s="562">
        <f t="shared" ref="BQ31:BQ39" si="39">AI31*$AU31</f>
        <v>74.79164144305831</v>
      </c>
      <c r="BR31" s="562">
        <f t="shared" ref="BR31:BR39" si="40">AJ31*$AU31</f>
        <v>28.151490118847128</v>
      </c>
      <c r="BS31" s="563">
        <f t="shared" ref="BS31:BS39" si="41">AK31*$AU31</f>
        <v>7.1114308990082096</v>
      </c>
      <c r="BT31" s="573"/>
    </row>
    <row r="32" spans="1:72">
      <c r="D32" s="572"/>
      <c r="E32" s="477" t="s">
        <v>334</v>
      </c>
      <c r="F32" s="478"/>
      <c r="G32" s="478"/>
      <c r="H32" s="478"/>
      <c r="I32" s="478"/>
      <c r="J32" s="479"/>
      <c r="K32" s="531">
        <v>0</v>
      </c>
      <c r="L32" s="531">
        <v>0</v>
      </c>
      <c r="M32" s="531">
        <v>0</v>
      </c>
      <c r="N32" s="503">
        <v>0</v>
      </c>
      <c r="O32" s="564">
        <v>0</v>
      </c>
      <c r="P32" s="564">
        <v>0</v>
      </c>
      <c r="Q32" s="504">
        <v>0</v>
      </c>
      <c r="R32" s="503">
        <v>0</v>
      </c>
      <c r="S32" s="564">
        <v>0</v>
      </c>
      <c r="T32" s="564">
        <v>0</v>
      </c>
      <c r="U32" s="504">
        <v>0</v>
      </c>
      <c r="V32" s="503">
        <v>0</v>
      </c>
      <c r="W32" s="564">
        <v>0</v>
      </c>
      <c r="X32" s="564">
        <v>0</v>
      </c>
      <c r="Y32" s="504">
        <v>0</v>
      </c>
      <c r="Z32" s="503">
        <v>0</v>
      </c>
      <c r="AA32" s="564">
        <v>0</v>
      </c>
      <c r="AB32" s="564">
        <v>0</v>
      </c>
      <c r="AC32" s="504">
        <v>0</v>
      </c>
      <c r="AD32" s="503">
        <v>0</v>
      </c>
      <c r="AE32" s="564">
        <v>0</v>
      </c>
      <c r="AF32" s="564">
        <v>0</v>
      </c>
      <c r="AG32" s="504">
        <v>0</v>
      </c>
      <c r="AH32" s="503">
        <v>0</v>
      </c>
      <c r="AI32" s="564">
        <v>0</v>
      </c>
      <c r="AJ32" s="564">
        <v>0</v>
      </c>
      <c r="AK32" s="504">
        <v>0</v>
      </c>
      <c r="AL32" s="573"/>
      <c r="AN32" s="572"/>
      <c r="AO32" s="477" t="s">
        <v>334</v>
      </c>
      <c r="AP32" s="478"/>
      <c r="AQ32" s="478"/>
      <c r="AR32" s="478"/>
      <c r="AS32" s="478"/>
      <c r="AT32" s="479"/>
      <c r="AU32" s="646">
        <v>1</v>
      </c>
      <c r="AV32" s="503">
        <f t="shared" si="18"/>
        <v>0</v>
      </c>
      <c r="AW32" s="564">
        <f t="shared" si="19"/>
        <v>0</v>
      </c>
      <c r="AX32" s="564">
        <f t="shared" si="20"/>
        <v>0</v>
      </c>
      <c r="AY32" s="504">
        <f t="shared" si="21"/>
        <v>0</v>
      </c>
      <c r="AZ32" s="503">
        <f t="shared" si="22"/>
        <v>0</v>
      </c>
      <c r="BA32" s="564">
        <f t="shared" si="23"/>
        <v>0</v>
      </c>
      <c r="BB32" s="564">
        <f t="shared" si="24"/>
        <v>0</v>
      </c>
      <c r="BC32" s="504">
        <f t="shared" si="25"/>
        <v>0</v>
      </c>
      <c r="BD32" s="503">
        <f t="shared" si="26"/>
        <v>0</v>
      </c>
      <c r="BE32" s="564">
        <f t="shared" si="27"/>
        <v>0</v>
      </c>
      <c r="BF32" s="564">
        <f t="shared" si="28"/>
        <v>0</v>
      </c>
      <c r="BG32" s="504">
        <f t="shared" si="29"/>
        <v>0</v>
      </c>
      <c r="BH32" s="503">
        <f t="shared" si="30"/>
        <v>0</v>
      </c>
      <c r="BI32" s="564">
        <f t="shared" si="31"/>
        <v>0</v>
      </c>
      <c r="BJ32" s="564">
        <f t="shared" si="32"/>
        <v>0</v>
      </c>
      <c r="BK32" s="504">
        <f t="shared" si="33"/>
        <v>0</v>
      </c>
      <c r="BL32" s="503">
        <f t="shared" si="34"/>
        <v>0</v>
      </c>
      <c r="BM32" s="564">
        <f t="shared" si="35"/>
        <v>0</v>
      </c>
      <c r="BN32" s="564">
        <f t="shared" si="36"/>
        <v>0</v>
      </c>
      <c r="BO32" s="504">
        <f t="shared" si="37"/>
        <v>0</v>
      </c>
      <c r="BP32" s="503">
        <f t="shared" si="38"/>
        <v>0</v>
      </c>
      <c r="BQ32" s="564">
        <f t="shared" si="39"/>
        <v>0</v>
      </c>
      <c r="BR32" s="564">
        <f t="shared" si="40"/>
        <v>0</v>
      </c>
      <c r="BS32" s="504">
        <f t="shared" si="41"/>
        <v>0</v>
      </c>
      <c r="BT32" s="573"/>
    </row>
    <row r="33" spans="4:72">
      <c r="D33" s="572"/>
      <c r="E33" s="477" t="s">
        <v>335</v>
      </c>
      <c r="F33" s="478"/>
      <c r="G33" s="478"/>
      <c r="H33" s="478"/>
      <c r="I33" s="478"/>
      <c r="J33" s="479"/>
      <c r="K33" s="531">
        <v>0</v>
      </c>
      <c r="L33" s="531">
        <f>0.5/3</f>
        <v>0.16666666666666666</v>
      </c>
      <c r="M33" s="531">
        <v>0.2</v>
      </c>
      <c r="N33" s="503">
        <v>0</v>
      </c>
      <c r="O33" s="564">
        <v>0</v>
      </c>
      <c r="P33" s="564">
        <v>0</v>
      </c>
      <c r="Q33" s="504">
        <v>0</v>
      </c>
      <c r="R33" s="503">
        <v>0</v>
      </c>
      <c r="S33" s="564">
        <v>0</v>
      </c>
      <c r="T33" s="564">
        <v>0</v>
      </c>
      <c r="U33" s="504">
        <v>0</v>
      </c>
      <c r="V33" s="503">
        <v>0</v>
      </c>
      <c r="W33" s="564">
        <v>0</v>
      </c>
      <c r="X33" s="564">
        <v>0</v>
      </c>
      <c r="Y33" s="504">
        <v>0</v>
      </c>
      <c r="Z33" s="503">
        <v>0</v>
      </c>
      <c r="AA33" s="564">
        <v>0</v>
      </c>
      <c r="AB33" s="564">
        <v>0</v>
      </c>
      <c r="AC33" s="504">
        <v>0</v>
      </c>
      <c r="AD33" s="503">
        <v>0</v>
      </c>
      <c r="AE33" s="564">
        <v>0</v>
      </c>
      <c r="AF33" s="564">
        <v>0</v>
      </c>
      <c r="AG33" s="504">
        <v>0</v>
      </c>
      <c r="AH33" s="503">
        <v>0</v>
      </c>
      <c r="AI33" s="564">
        <v>0</v>
      </c>
      <c r="AJ33" s="564">
        <v>0</v>
      </c>
      <c r="AK33" s="504">
        <v>0</v>
      </c>
      <c r="AL33" s="573"/>
      <c r="AN33" s="572"/>
      <c r="AO33" s="477" t="s">
        <v>335</v>
      </c>
      <c r="AP33" s="478"/>
      <c r="AQ33" s="478"/>
      <c r="AR33" s="478"/>
      <c r="AS33" s="478"/>
      <c r="AT33" s="479"/>
      <c r="AU33" s="646">
        <v>1</v>
      </c>
      <c r="AV33" s="503">
        <f t="shared" si="18"/>
        <v>0</v>
      </c>
      <c r="AW33" s="564">
        <f t="shared" si="19"/>
        <v>0</v>
      </c>
      <c r="AX33" s="564">
        <f t="shared" si="20"/>
        <v>0</v>
      </c>
      <c r="AY33" s="504">
        <f t="shared" si="21"/>
        <v>0</v>
      </c>
      <c r="AZ33" s="503">
        <f t="shared" si="22"/>
        <v>0</v>
      </c>
      <c r="BA33" s="564">
        <f t="shared" si="23"/>
        <v>0</v>
      </c>
      <c r="BB33" s="564">
        <f t="shared" si="24"/>
        <v>0</v>
      </c>
      <c r="BC33" s="504">
        <f t="shared" si="25"/>
        <v>0</v>
      </c>
      <c r="BD33" s="503">
        <f t="shared" si="26"/>
        <v>0</v>
      </c>
      <c r="BE33" s="564">
        <f t="shared" si="27"/>
        <v>0</v>
      </c>
      <c r="BF33" s="564">
        <f t="shared" si="28"/>
        <v>0</v>
      </c>
      <c r="BG33" s="504">
        <f t="shared" si="29"/>
        <v>0</v>
      </c>
      <c r="BH33" s="503">
        <f t="shared" si="30"/>
        <v>0</v>
      </c>
      <c r="BI33" s="564">
        <f t="shared" si="31"/>
        <v>0</v>
      </c>
      <c r="BJ33" s="564">
        <f t="shared" si="32"/>
        <v>0</v>
      </c>
      <c r="BK33" s="504">
        <f t="shared" si="33"/>
        <v>0</v>
      </c>
      <c r="BL33" s="503">
        <f t="shared" si="34"/>
        <v>0</v>
      </c>
      <c r="BM33" s="564">
        <f t="shared" si="35"/>
        <v>0</v>
      </c>
      <c r="BN33" s="564">
        <f t="shared" si="36"/>
        <v>0</v>
      </c>
      <c r="BO33" s="504">
        <f t="shared" si="37"/>
        <v>0</v>
      </c>
      <c r="BP33" s="503">
        <f t="shared" si="38"/>
        <v>0</v>
      </c>
      <c r="BQ33" s="564">
        <f t="shared" si="39"/>
        <v>0</v>
      </c>
      <c r="BR33" s="564">
        <f t="shared" si="40"/>
        <v>0</v>
      </c>
      <c r="BS33" s="504">
        <f t="shared" si="41"/>
        <v>0</v>
      </c>
      <c r="BT33" s="573"/>
    </row>
    <row r="34" spans="4:72">
      <c r="D34" s="572"/>
      <c r="E34" s="477" t="s">
        <v>336</v>
      </c>
      <c r="F34" s="478"/>
      <c r="G34" s="478"/>
      <c r="H34" s="478"/>
      <c r="I34" s="478"/>
      <c r="J34" s="479"/>
      <c r="K34" s="531">
        <v>0</v>
      </c>
      <c r="L34" s="531">
        <f>0.5/3</f>
        <v>0.16666666666666666</v>
      </c>
      <c r="M34" s="531">
        <v>0.1</v>
      </c>
      <c r="N34" s="561">
        <f t="shared" ref="N34:AK34" si="42">VLOOKUP(N$30&amp;N$26&amp;N$27,t.ResUESSummary,N$53,FALSE)</f>
        <v>164.58798515355221</v>
      </c>
      <c r="O34" s="562">
        <f t="shared" si="42"/>
        <v>362.48290797703737</v>
      </c>
      <c r="P34" s="562">
        <f t="shared" si="42"/>
        <v>192.92768182143982</v>
      </c>
      <c r="Q34" s="563">
        <f t="shared" si="42"/>
        <v>127.0741529191919</v>
      </c>
      <c r="R34" s="561">
        <f t="shared" si="42"/>
        <v>150.08192544510354</v>
      </c>
      <c r="S34" s="562">
        <f t="shared" si="42"/>
        <v>330.53526185024765</v>
      </c>
      <c r="T34" s="562">
        <f t="shared" si="42"/>
        <v>175.92388613548241</v>
      </c>
      <c r="U34" s="563">
        <f t="shared" si="42"/>
        <v>115.87439706868686</v>
      </c>
      <c r="V34" s="561">
        <f t="shared" si="42"/>
        <v>135.57586573665486</v>
      </c>
      <c r="W34" s="562">
        <f t="shared" si="42"/>
        <v>298.58761572345787</v>
      </c>
      <c r="X34" s="562">
        <f t="shared" si="42"/>
        <v>158.92009044952499</v>
      </c>
      <c r="Y34" s="563">
        <f t="shared" si="42"/>
        <v>104.6746412181818</v>
      </c>
      <c r="Z34" s="561">
        <f t="shared" si="42"/>
        <v>21.923689832074565</v>
      </c>
      <c r="AA34" s="562">
        <f t="shared" si="42"/>
        <v>90.796437142807406</v>
      </c>
      <c r="AB34" s="562">
        <f t="shared" si="42"/>
        <v>34.175677304773266</v>
      </c>
      <c r="AC34" s="563">
        <f t="shared" si="42"/>
        <v>8.6332185811005004</v>
      </c>
      <c r="AD34" s="561">
        <f t="shared" si="42"/>
        <v>19.991432423145959</v>
      </c>
      <c r="AE34" s="562">
        <f t="shared" si="42"/>
        <v>82.794039292932851</v>
      </c>
      <c r="AF34" s="562">
        <f t="shared" si="42"/>
        <v>31.163583711810197</v>
      </c>
      <c r="AG34" s="563">
        <f t="shared" si="42"/>
        <v>7.8723247400543555</v>
      </c>
      <c r="AH34" s="561">
        <f t="shared" si="42"/>
        <v>18.059175014217352</v>
      </c>
      <c r="AI34" s="562">
        <f t="shared" si="42"/>
        <v>74.79164144305831</v>
      </c>
      <c r="AJ34" s="562">
        <f t="shared" si="42"/>
        <v>28.151490118847128</v>
      </c>
      <c r="AK34" s="563">
        <f t="shared" si="42"/>
        <v>7.1114308990082096</v>
      </c>
      <c r="AL34" s="573"/>
      <c r="AN34" s="572"/>
      <c r="AO34" s="477" t="s">
        <v>336</v>
      </c>
      <c r="AP34" s="478"/>
      <c r="AQ34" s="478"/>
      <c r="AR34" s="478"/>
      <c r="AS34" s="478"/>
      <c r="AT34" s="479"/>
      <c r="AU34" s="646">
        <f>K34</f>
        <v>0</v>
      </c>
      <c r="AV34" s="503">
        <f t="shared" si="18"/>
        <v>0</v>
      </c>
      <c r="AW34" s="564">
        <f t="shared" si="19"/>
        <v>0</v>
      </c>
      <c r="AX34" s="564">
        <f t="shared" si="20"/>
        <v>0</v>
      </c>
      <c r="AY34" s="504">
        <f t="shared" si="21"/>
        <v>0</v>
      </c>
      <c r="AZ34" s="503">
        <f t="shared" si="22"/>
        <v>0</v>
      </c>
      <c r="BA34" s="564">
        <f t="shared" si="23"/>
        <v>0</v>
      </c>
      <c r="BB34" s="564">
        <f t="shared" si="24"/>
        <v>0</v>
      </c>
      <c r="BC34" s="504">
        <f t="shared" si="25"/>
        <v>0</v>
      </c>
      <c r="BD34" s="503">
        <f t="shared" si="26"/>
        <v>0</v>
      </c>
      <c r="BE34" s="564">
        <f t="shared" si="27"/>
        <v>0</v>
      </c>
      <c r="BF34" s="564">
        <f t="shared" si="28"/>
        <v>0</v>
      </c>
      <c r="BG34" s="504">
        <f t="shared" si="29"/>
        <v>0</v>
      </c>
      <c r="BH34" s="503">
        <f t="shared" si="30"/>
        <v>0</v>
      </c>
      <c r="BI34" s="564">
        <f t="shared" si="31"/>
        <v>0</v>
      </c>
      <c r="BJ34" s="564">
        <f t="shared" si="32"/>
        <v>0</v>
      </c>
      <c r="BK34" s="504">
        <f t="shared" si="33"/>
        <v>0</v>
      </c>
      <c r="BL34" s="503">
        <f t="shared" si="34"/>
        <v>0</v>
      </c>
      <c r="BM34" s="564">
        <f t="shared" si="35"/>
        <v>0</v>
      </c>
      <c r="BN34" s="564">
        <f t="shared" si="36"/>
        <v>0</v>
      </c>
      <c r="BO34" s="504">
        <f t="shared" si="37"/>
        <v>0</v>
      </c>
      <c r="BP34" s="503">
        <f t="shared" si="38"/>
        <v>0</v>
      </c>
      <c r="BQ34" s="564">
        <f t="shared" si="39"/>
        <v>0</v>
      </c>
      <c r="BR34" s="564">
        <f t="shared" si="40"/>
        <v>0</v>
      </c>
      <c r="BS34" s="504">
        <f t="shared" si="41"/>
        <v>0</v>
      </c>
      <c r="BT34" s="573"/>
    </row>
    <row r="35" spans="4:72" ht="15" customHeight="1">
      <c r="D35" s="572"/>
      <c r="E35" s="875" t="s">
        <v>343</v>
      </c>
      <c r="F35" s="480" t="s">
        <v>337</v>
      </c>
      <c r="G35" s="480"/>
      <c r="H35" s="480"/>
      <c r="I35" s="480"/>
      <c r="J35" s="481"/>
      <c r="K35" s="533">
        <v>0.25</v>
      </c>
      <c r="L35" s="533">
        <f>0.5/3</f>
        <v>0.16666666666666666</v>
      </c>
      <c r="M35" s="533">
        <v>0.17</v>
      </c>
      <c r="N35" s="537">
        <v>0</v>
      </c>
      <c r="O35" s="565">
        <v>0</v>
      </c>
      <c r="P35" s="565">
        <v>0</v>
      </c>
      <c r="Q35" s="505">
        <v>0</v>
      </c>
      <c r="R35" s="537">
        <v>0</v>
      </c>
      <c r="S35" s="565">
        <v>0</v>
      </c>
      <c r="T35" s="565">
        <v>0</v>
      </c>
      <c r="U35" s="505">
        <v>0</v>
      </c>
      <c r="V35" s="537">
        <v>0</v>
      </c>
      <c r="W35" s="565">
        <v>0</v>
      </c>
      <c r="X35" s="565">
        <v>0</v>
      </c>
      <c r="Y35" s="505">
        <v>0</v>
      </c>
      <c r="Z35" s="537">
        <v>0</v>
      </c>
      <c r="AA35" s="565">
        <v>0</v>
      </c>
      <c r="AB35" s="565">
        <v>0</v>
      </c>
      <c r="AC35" s="505">
        <v>0</v>
      </c>
      <c r="AD35" s="537">
        <v>0</v>
      </c>
      <c r="AE35" s="565">
        <v>0</v>
      </c>
      <c r="AF35" s="565">
        <v>0</v>
      </c>
      <c r="AG35" s="505">
        <v>0</v>
      </c>
      <c r="AH35" s="537">
        <v>0</v>
      </c>
      <c r="AI35" s="565">
        <v>0</v>
      </c>
      <c r="AJ35" s="565">
        <v>0</v>
      </c>
      <c r="AK35" s="505">
        <v>0</v>
      </c>
      <c r="AL35" s="573"/>
      <c r="AN35" s="572"/>
      <c r="AO35" s="875" t="s">
        <v>343</v>
      </c>
      <c r="AP35" s="480" t="s">
        <v>337</v>
      </c>
      <c r="AQ35" s="480"/>
      <c r="AR35" s="480"/>
      <c r="AS35" s="480"/>
      <c r="AT35" s="481"/>
      <c r="AU35" s="647">
        <v>1</v>
      </c>
      <c r="AV35" s="537">
        <f t="shared" si="18"/>
        <v>0</v>
      </c>
      <c r="AW35" s="565">
        <f t="shared" si="19"/>
        <v>0</v>
      </c>
      <c r="AX35" s="565">
        <f t="shared" si="20"/>
        <v>0</v>
      </c>
      <c r="AY35" s="505">
        <f t="shared" si="21"/>
        <v>0</v>
      </c>
      <c r="AZ35" s="537">
        <f t="shared" si="22"/>
        <v>0</v>
      </c>
      <c r="BA35" s="565">
        <f t="shared" si="23"/>
        <v>0</v>
      </c>
      <c r="BB35" s="565">
        <f t="shared" si="24"/>
        <v>0</v>
      </c>
      <c r="BC35" s="505">
        <f t="shared" si="25"/>
        <v>0</v>
      </c>
      <c r="BD35" s="537">
        <f t="shared" si="26"/>
        <v>0</v>
      </c>
      <c r="BE35" s="565">
        <f t="shared" si="27"/>
        <v>0</v>
      </c>
      <c r="BF35" s="565">
        <f t="shared" si="28"/>
        <v>0</v>
      </c>
      <c r="BG35" s="505">
        <f t="shared" si="29"/>
        <v>0</v>
      </c>
      <c r="BH35" s="537">
        <f t="shared" si="30"/>
        <v>0</v>
      </c>
      <c r="BI35" s="565">
        <f t="shared" si="31"/>
        <v>0</v>
      </c>
      <c r="BJ35" s="565">
        <f t="shared" si="32"/>
        <v>0</v>
      </c>
      <c r="BK35" s="505">
        <f t="shared" si="33"/>
        <v>0</v>
      </c>
      <c r="BL35" s="537">
        <f t="shared" si="34"/>
        <v>0</v>
      </c>
      <c r="BM35" s="565">
        <f t="shared" si="35"/>
        <v>0</v>
      </c>
      <c r="BN35" s="565">
        <f t="shared" si="36"/>
        <v>0</v>
      </c>
      <c r="BO35" s="505">
        <f t="shared" si="37"/>
        <v>0</v>
      </c>
      <c r="BP35" s="537">
        <f t="shared" si="38"/>
        <v>0</v>
      </c>
      <c r="BQ35" s="565">
        <f t="shared" si="39"/>
        <v>0</v>
      </c>
      <c r="BR35" s="565">
        <f t="shared" si="40"/>
        <v>0</v>
      </c>
      <c r="BS35" s="505">
        <f t="shared" si="41"/>
        <v>0</v>
      </c>
      <c r="BT35" s="573"/>
    </row>
    <row r="36" spans="4:72">
      <c r="D36" s="572"/>
      <c r="E36" s="876"/>
      <c r="F36" s="483" t="s">
        <v>338</v>
      </c>
      <c r="G36" s="483"/>
      <c r="H36" s="483"/>
      <c r="I36" s="483"/>
      <c r="J36" s="484"/>
      <c r="K36" s="534">
        <v>0.25</v>
      </c>
      <c r="L36" s="534">
        <f>0.5/3</f>
        <v>0.16666666666666666</v>
      </c>
      <c r="M36" s="534">
        <v>0.25</v>
      </c>
      <c r="N36" s="566">
        <f t="shared" ref="N36:AK36" si="43">VLOOKUP(N$30&amp;N$26&amp;N$27,t.ResUESSummary,N$53,FALSE)</f>
        <v>164.58798515355221</v>
      </c>
      <c r="O36" s="567">
        <f t="shared" si="43"/>
        <v>362.48290797703737</v>
      </c>
      <c r="P36" s="567">
        <f t="shared" si="43"/>
        <v>192.92768182143982</v>
      </c>
      <c r="Q36" s="568">
        <f t="shared" si="43"/>
        <v>127.0741529191919</v>
      </c>
      <c r="R36" s="566">
        <f t="shared" si="43"/>
        <v>150.08192544510354</v>
      </c>
      <c r="S36" s="567">
        <f t="shared" si="43"/>
        <v>330.53526185024765</v>
      </c>
      <c r="T36" s="567">
        <f t="shared" si="43"/>
        <v>175.92388613548241</v>
      </c>
      <c r="U36" s="568">
        <f t="shared" si="43"/>
        <v>115.87439706868686</v>
      </c>
      <c r="V36" s="566">
        <f t="shared" si="43"/>
        <v>135.57586573665486</v>
      </c>
      <c r="W36" s="567">
        <f t="shared" si="43"/>
        <v>298.58761572345787</v>
      </c>
      <c r="X36" s="567">
        <f t="shared" si="43"/>
        <v>158.92009044952499</v>
      </c>
      <c r="Y36" s="568">
        <f t="shared" si="43"/>
        <v>104.6746412181818</v>
      </c>
      <c r="Z36" s="566">
        <f t="shared" si="43"/>
        <v>21.923689832074565</v>
      </c>
      <c r="AA36" s="567">
        <f t="shared" si="43"/>
        <v>90.796437142807406</v>
      </c>
      <c r="AB36" s="567">
        <f t="shared" si="43"/>
        <v>34.175677304773266</v>
      </c>
      <c r="AC36" s="568">
        <f t="shared" si="43"/>
        <v>8.6332185811005004</v>
      </c>
      <c r="AD36" s="566">
        <f t="shared" si="43"/>
        <v>19.991432423145959</v>
      </c>
      <c r="AE36" s="567">
        <f t="shared" si="43"/>
        <v>82.794039292932851</v>
      </c>
      <c r="AF36" s="567">
        <f t="shared" si="43"/>
        <v>31.163583711810197</v>
      </c>
      <c r="AG36" s="568">
        <f t="shared" si="43"/>
        <v>7.8723247400543555</v>
      </c>
      <c r="AH36" s="566">
        <f t="shared" si="43"/>
        <v>18.059175014217352</v>
      </c>
      <c r="AI36" s="567">
        <f t="shared" si="43"/>
        <v>74.79164144305831</v>
      </c>
      <c r="AJ36" s="567">
        <f t="shared" si="43"/>
        <v>28.151490118847128</v>
      </c>
      <c r="AK36" s="568">
        <f t="shared" si="43"/>
        <v>7.1114308990082096</v>
      </c>
      <c r="AL36" s="573"/>
      <c r="AN36" s="572"/>
      <c r="AO36" s="876"/>
      <c r="AP36" s="483" t="s">
        <v>338</v>
      </c>
      <c r="AQ36" s="483"/>
      <c r="AR36" s="483"/>
      <c r="AS36" s="483"/>
      <c r="AT36" s="484"/>
      <c r="AU36" s="648">
        <v>1</v>
      </c>
      <c r="AV36" s="566">
        <f t="shared" si="18"/>
        <v>164.58798515355221</v>
      </c>
      <c r="AW36" s="567">
        <f t="shared" si="19"/>
        <v>362.48290797703737</v>
      </c>
      <c r="AX36" s="567">
        <f t="shared" si="20"/>
        <v>192.92768182143982</v>
      </c>
      <c r="AY36" s="568">
        <f t="shared" si="21"/>
        <v>127.0741529191919</v>
      </c>
      <c r="AZ36" s="566">
        <f t="shared" si="22"/>
        <v>150.08192544510354</v>
      </c>
      <c r="BA36" s="567">
        <f t="shared" si="23"/>
        <v>330.53526185024765</v>
      </c>
      <c r="BB36" s="567">
        <f t="shared" si="24"/>
        <v>175.92388613548241</v>
      </c>
      <c r="BC36" s="568">
        <f t="shared" si="25"/>
        <v>115.87439706868686</v>
      </c>
      <c r="BD36" s="566">
        <f t="shared" si="26"/>
        <v>135.57586573665486</v>
      </c>
      <c r="BE36" s="567">
        <f t="shared" si="27"/>
        <v>298.58761572345787</v>
      </c>
      <c r="BF36" s="567">
        <f t="shared" si="28"/>
        <v>158.92009044952499</v>
      </c>
      <c r="BG36" s="568">
        <f t="shared" si="29"/>
        <v>104.6746412181818</v>
      </c>
      <c r="BH36" s="566">
        <f t="shared" si="30"/>
        <v>21.923689832074565</v>
      </c>
      <c r="BI36" s="567">
        <f t="shared" si="31"/>
        <v>90.796437142807406</v>
      </c>
      <c r="BJ36" s="567">
        <f t="shared" si="32"/>
        <v>34.175677304773266</v>
      </c>
      <c r="BK36" s="568">
        <f t="shared" si="33"/>
        <v>8.6332185811005004</v>
      </c>
      <c r="BL36" s="566">
        <f t="shared" si="34"/>
        <v>19.991432423145959</v>
      </c>
      <c r="BM36" s="567">
        <f t="shared" si="35"/>
        <v>82.794039292932851</v>
      </c>
      <c r="BN36" s="567">
        <f t="shared" si="36"/>
        <v>31.163583711810197</v>
      </c>
      <c r="BO36" s="568">
        <f t="shared" si="37"/>
        <v>7.8723247400543555</v>
      </c>
      <c r="BP36" s="566">
        <f t="shared" si="38"/>
        <v>18.059175014217352</v>
      </c>
      <c r="BQ36" s="567">
        <f t="shared" si="39"/>
        <v>74.79164144305831</v>
      </c>
      <c r="BR36" s="567">
        <f t="shared" si="40"/>
        <v>28.151490118847128</v>
      </c>
      <c r="BS36" s="568">
        <f t="shared" si="41"/>
        <v>7.1114308990082096</v>
      </c>
      <c r="BT36" s="573"/>
    </row>
    <row r="37" spans="4:72">
      <c r="D37" s="572"/>
      <c r="E37" s="876"/>
      <c r="F37" s="878" t="s">
        <v>339</v>
      </c>
      <c r="G37" s="878"/>
      <c r="H37" s="482" t="s">
        <v>422</v>
      </c>
      <c r="I37" s="483"/>
      <c r="J37" s="484"/>
      <c r="K37" s="534">
        <v>0</v>
      </c>
      <c r="L37" s="534">
        <f>0.5/3*0.75</f>
        <v>0.125</v>
      </c>
      <c r="M37" s="534">
        <v>0.04</v>
      </c>
      <c r="N37" s="539">
        <v>0</v>
      </c>
      <c r="O37" s="556">
        <v>0</v>
      </c>
      <c r="P37" s="556">
        <v>0</v>
      </c>
      <c r="Q37" s="557">
        <v>0</v>
      </c>
      <c r="R37" s="539">
        <v>0</v>
      </c>
      <c r="S37" s="556">
        <v>0</v>
      </c>
      <c r="T37" s="556">
        <v>0</v>
      </c>
      <c r="U37" s="557">
        <v>0</v>
      </c>
      <c r="V37" s="539">
        <v>0</v>
      </c>
      <c r="W37" s="556">
        <v>0</v>
      </c>
      <c r="X37" s="556">
        <v>0</v>
      </c>
      <c r="Y37" s="557">
        <v>0</v>
      </c>
      <c r="Z37" s="539">
        <v>0</v>
      </c>
      <c r="AA37" s="556">
        <v>0</v>
      </c>
      <c r="AB37" s="556">
        <v>0</v>
      </c>
      <c r="AC37" s="557">
        <v>0</v>
      </c>
      <c r="AD37" s="539">
        <v>0</v>
      </c>
      <c r="AE37" s="556">
        <v>0</v>
      </c>
      <c r="AF37" s="556">
        <v>0</v>
      </c>
      <c r="AG37" s="557">
        <v>0</v>
      </c>
      <c r="AH37" s="539">
        <v>0</v>
      </c>
      <c r="AI37" s="556">
        <v>0</v>
      </c>
      <c r="AJ37" s="556">
        <v>0</v>
      </c>
      <c r="AK37" s="557">
        <v>0</v>
      </c>
      <c r="AL37" s="573"/>
      <c r="AN37" s="572"/>
      <c r="AO37" s="876"/>
      <c r="AP37" s="878" t="s">
        <v>339</v>
      </c>
      <c r="AQ37" s="878"/>
      <c r="AR37" s="482" t="s">
        <v>422</v>
      </c>
      <c r="AS37" s="483"/>
      <c r="AT37" s="484"/>
      <c r="AU37" s="648">
        <v>1</v>
      </c>
      <c r="AV37" s="539">
        <f t="shared" si="18"/>
        <v>0</v>
      </c>
      <c r="AW37" s="556">
        <f t="shared" si="19"/>
        <v>0</v>
      </c>
      <c r="AX37" s="556">
        <f t="shared" si="20"/>
        <v>0</v>
      </c>
      <c r="AY37" s="557">
        <f t="shared" si="21"/>
        <v>0</v>
      </c>
      <c r="AZ37" s="539">
        <f t="shared" si="22"/>
        <v>0</v>
      </c>
      <c r="BA37" s="556">
        <f t="shared" si="23"/>
        <v>0</v>
      </c>
      <c r="BB37" s="556">
        <f t="shared" si="24"/>
        <v>0</v>
      </c>
      <c r="BC37" s="557">
        <f t="shared" si="25"/>
        <v>0</v>
      </c>
      <c r="BD37" s="539">
        <f t="shared" si="26"/>
        <v>0</v>
      </c>
      <c r="BE37" s="556">
        <f t="shared" si="27"/>
        <v>0</v>
      </c>
      <c r="BF37" s="556">
        <f t="shared" si="28"/>
        <v>0</v>
      </c>
      <c r="BG37" s="557">
        <f t="shared" si="29"/>
        <v>0</v>
      </c>
      <c r="BH37" s="539">
        <f t="shared" si="30"/>
        <v>0</v>
      </c>
      <c r="BI37" s="556">
        <f t="shared" si="31"/>
        <v>0</v>
      </c>
      <c r="BJ37" s="556">
        <f t="shared" si="32"/>
        <v>0</v>
      </c>
      <c r="BK37" s="557">
        <f t="shared" si="33"/>
        <v>0</v>
      </c>
      <c r="BL37" s="539">
        <f t="shared" si="34"/>
        <v>0</v>
      </c>
      <c r="BM37" s="556">
        <f t="shared" si="35"/>
        <v>0</v>
      </c>
      <c r="BN37" s="556">
        <f t="shared" si="36"/>
        <v>0</v>
      </c>
      <c r="BO37" s="557">
        <f t="shared" si="37"/>
        <v>0</v>
      </c>
      <c r="BP37" s="539">
        <f t="shared" si="38"/>
        <v>0</v>
      </c>
      <c r="BQ37" s="556">
        <f t="shared" si="39"/>
        <v>0</v>
      </c>
      <c r="BR37" s="556">
        <f t="shared" si="40"/>
        <v>0</v>
      </c>
      <c r="BS37" s="557">
        <f t="shared" si="41"/>
        <v>0</v>
      </c>
      <c r="BT37" s="573"/>
    </row>
    <row r="38" spans="4:72">
      <c r="D38" s="572"/>
      <c r="E38" s="877"/>
      <c r="F38" s="878"/>
      <c r="G38" s="878"/>
      <c r="H38" s="485" t="s">
        <v>340</v>
      </c>
      <c r="I38" s="486"/>
      <c r="J38" s="487"/>
      <c r="K38" s="535">
        <v>0.5</v>
      </c>
      <c r="L38" s="535">
        <f>0.5/3*0.25</f>
        <v>4.1666666666666664E-2</v>
      </c>
      <c r="M38" s="535">
        <f>0.5/3*0.25</f>
        <v>4.1666666666666664E-2</v>
      </c>
      <c r="N38" s="558">
        <f t="shared" ref="N38:AK38" si="44">VLOOKUP(N$30&amp;N$26&amp;"NoRepl",t.ResUESSummary,N$53,FALSE)</f>
        <v>421.30850706735214</v>
      </c>
      <c r="O38" s="559">
        <f t="shared" si="44"/>
        <v>774.7052119225574</v>
      </c>
      <c r="P38" s="559">
        <f t="shared" si="44"/>
        <v>455.50745795677142</v>
      </c>
      <c r="Q38" s="560">
        <f t="shared" si="44"/>
        <v>338.13797395959597</v>
      </c>
      <c r="R38" s="558">
        <f t="shared" si="44"/>
        <v>384.17623186819566</v>
      </c>
      <c r="S38" s="559">
        <f t="shared" si="44"/>
        <v>706.42610849887433</v>
      </c>
      <c r="T38" s="559">
        <f t="shared" si="44"/>
        <v>415.36103793346274</v>
      </c>
      <c r="U38" s="560">
        <f t="shared" si="44"/>
        <v>308.33598303434343</v>
      </c>
      <c r="V38" s="558">
        <f t="shared" si="44"/>
        <v>347.04395666903923</v>
      </c>
      <c r="W38" s="559">
        <f t="shared" si="44"/>
        <v>638.14700507519137</v>
      </c>
      <c r="X38" s="559">
        <f t="shared" si="44"/>
        <v>375.21461791015406</v>
      </c>
      <c r="Y38" s="560">
        <f t="shared" si="44"/>
        <v>278.53399210909089</v>
      </c>
      <c r="Z38" s="558">
        <f t="shared" si="44"/>
        <v>421.30850706735214</v>
      </c>
      <c r="AA38" s="559">
        <f t="shared" si="44"/>
        <v>774.7052119225574</v>
      </c>
      <c r="AB38" s="559">
        <f t="shared" si="44"/>
        <v>455.50745795677142</v>
      </c>
      <c r="AC38" s="560">
        <f t="shared" si="44"/>
        <v>338.13797395959597</v>
      </c>
      <c r="AD38" s="558">
        <f t="shared" si="44"/>
        <v>384.17623186819566</v>
      </c>
      <c r="AE38" s="559">
        <f t="shared" si="44"/>
        <v>706.42610849887433</v>
      </c>
      <c r="AF38" s="559">
        <f t="shared" si="44"/>
        <v>415.36103793346274</v>
      </c>
      <c r="AG38" s="560">
        <f t="shared" si="44"/>
        <v>308.33598303434343</v>
      </c>
      <c r="AH38" s="558">
        <f t="shared" si="44"/>
        <v>347.04395666903923</v>
      </c>
      <c r="AI38" s="559">
        <f t="shared" si="44"/>
        <v>638.14700507519137</v>
      </c>
      <c r="AJ38" s="559">
        <f t="shared" si="44"/>
        <v>375.21461791015406</v>
      </c>
      <c r="AK38" s="560">
        <f t="shared" si="44"/>
        <v>278.53399210909089</v>
      </c>
      <c r="AL38" s="573"/>
      <c r="AN38" s="572"/>
      <c r="AO38" s="877"/>
      <c r="AP38" s="878"/>
      <c r="AQ38" s="878"/>
      <c r="AR38" s="485" t="s">
        <v>340</v>
      </c>
      <c r="AS38" s="486"/>
      <c r="AT38" s="487"/>
      <c r="AU38" s="649">
        <v>1</v>
      </c>
      <c r="AV38" s="561">
        <f t="shared" si="18"/>
        <v>421.30850706735214</v>
      </c>
      <c r="AW38" s="559">
        <f t="shared" si="19"/>
        <v>774.7052119225574</v>
      </c>
      <c r="AX38" s="559">
        <f t="shared" si="20"/>
        <v>455.50745795677142</v>
      </c>
      <c r="AY38" s="560">
        <f t="shared" si="21"/>
        <v>338.13797395959597</v>
      </c>
      <c r="AZ38" s="558">
        <f t="shared" si="22"/>
        <v>384.17623186819566</v>
      </c>
      <c r="BA38" s="559">
        <f t="shared" si="23"/>
        <v>706.42610849887433</v>
      </c>
      <c r="BB38" s="559">
        <f t="shared" si="24"/>
        <v>415.36103793346274</v>
      </c>
      <c r="BC38" s="560">
        <f t="shared" si="25"/>
        <v>308.33598303434343</v>
      </c>
      <c r="BD38" s="558">
        <f t="shared" si="26"/>
        <v>347.04395666903923</v>
      </c>
      <c r="BE38" s="559">
        <f t="shared" si="27"/>
        <v>638.14700507519137</v>
      </c>
      <c r="BF38" s="559">
        <f t="shared" si="28"/>
        <v>375.21461791015406</v>
      </c>
      <c r="BG38" s="560">
        <f t="shared" si="29"/>
        <v>278.53399210909089</v>
      </c>
      <c r="BH38" s="558">
        <f t="shared" si="30"/>
        <v>421.30850706735214</v>
      </c>
      <c r="BI38" s="559">
        <f t="shared" si="31"/>
        <v>774.7052119225574</v>
      </c>
      <c r="BJ38" s="559">
        <f t="shared" si="32"/>
        <v>455.50745795677142</v>
      </c>
      <c r="BK38" s="560">
        <f t="shared" si="33"/>
        <v>338.13797395959597</v>
      </c>
      <c r="BL38" s="558">
        <f t="shared" si="34"/>
        <v>384.17623186819566</v>
      </c>
      <c r="BM38" s="559">
        <f t="shared" si="35"/>
        <v>706.42610849887433</v>
      </c>
      <c r="BN38" s="559">
        <f t="shared" si="36"/>
        <v>415.36103793346274</v>
      </c>
      <c r="BO38" s="560">
        <f t="shared" si="37"/>
        <v>308.33598303434343</v>
      </c>
      <c r="BP38" s="558">
        <f t="shared" si="38"/>
        <v>347.04395666903923</v>
      </c>
      <c r="BQ38" s="559">
        <f t="shared" si="39"/>
        <v>638.14700507519137</v>
      </c>
      <c r="BR38" s="559">
        <f t="shared" si="40"/>
        <v>375.21461791015406</v>
      </c>
      <c r="BS38" s="560">
        <f t="shared" si="41"/>
        <v>278.53399210909089</v>
      </c>
      <c r="BT38" s="573"/>
    </row>
    <row r="39" spans="4:72" ht="15" thickBot="1">
      <c r="D39" s="572"/>
      <c r="E39" s="666" t="s">
        <v>346</v>
      </c>
      <c r="F39" s="667"/>
      <c r="G39" s="667"/>
      <c r="H39" s="667"/>
      <c r="I39" s="667"/>
      <c r="J39" s="668"/>
      <c r="K39" s="669">
        <v>0</v>
      </c>
      <c r="L39" s="669">
        <f>0.5/3</f>
        <v>0.16666666666666666</v>
      </c>
      <c r="M39" s="669">
        <v>0.2</v>
      </c>
      <c r="N39" s="670">
        <v>0</v>
      </c>
      <c r="O39" s="671">
        <v>0</v>
      </c>
      <c r="P39" s="671">
        <v>0</v>
      </c>
      <c r="Q39" s="672">
        <v>0</v>
      </c>
      <c r="R39" s="670">
        <v>0</v>
      </c>
      <c r="S39" s="671">
        <v>0</v>
      </c>
      <c r="T39" s="671">
        <v>0</v>
      </c>
      <c r="U39" s="672">
        <v>0</v>
      </c>
      <c r="V39" s="670">
        <v>0</v>
      </c>
      <c r="W39" s="671">
        <v>0</v>
      </c>
      <c r="X39" s="671">
        <v>0</v>
      </c>
      <c r="Y39" s="672">
        <v>0</v>
      </c>
      <c r="Z39" s="670">
        <v>0</v>
      </c>
      <c r="AA39" s="671">
        <v>0</v>
      </c>
      <c r="AB39" s="671">
        <v>0</v>
      </c>
      <c r="AC39" s="672">
        <v>0</v>
      </c>
      <c r="AD39" s="670">
        <v>0</v>
      </c>
      <c r="AE39" s="671">
        <v>0</v>
      </c>
      <c r="AF39" s="671">
        <v>0</v>
      </c>
      <c r="AG39" s="672">
        <v>0</v>
      </c>
      <c r="AH39" s="670">
        <v>0</v>
      </c>
      <c r="AI39" s="671">
        <v>0</v>
      </c>
      <c r="AJ39" s="671">
        <v>0</v>
      </c>
      <c r="AK39" s="672">
        <v>0</v>
      </c>
      <c r="AL39" s="573"/>
      <c r="AN39" s="572"/>
      <c r="AO39" s="477" t="s">
        <v>346</v>
      </c>
      <c r="AP39" s="478"/>
      <c r="AQ39" s="478"/>
      <c r="AR39" s="478"/>
      <c r="AS39" s="478"/>
      <c r="AT39" s="479"/>
      <c r="AU39" s="646">
        <v>1</v>
      </c>
      <c r="AV39" s="503">
        <f t="shared" si="18"/>
        <v>0</v>
      </c>
      <c r="AW39" s="564">
        <f t="shared" si="19"/>
        <v>0</v>
      </c>
      <c r="AX39" s="564">
        <f t="shared" si="20"/>
        <v>0</v>
      </c>
      <c r="AY39" s="504">
        <f t="shared" si="21"/>
        <v>0</v>
      </c>
      <c r="AZ39" s="503">
        <f t="shared" si="22"/>
        <v>0</v>
      </c>
      <c r="BA39" s="564">
        <f t="shared" si="23"/>
        <v>0</v>
      </c>
      <c r="BB39" s="564">
        <f t="shared" si="24"/>
        <v>0</v>
      </c>
      <c r="BC39" s="504">
        <f t="shared" si="25"/>
        <v>0</v>
      </c>
      <c r="BD39" s="503">
        <f t="shared" si="26"/>
        <v>0</v>
      </c>
      <c r="BE39" s="564">
        <f t="shared" si="27"/>
        <v>0</v>
      </c>
      <c r="BF39" s="564">
        <f t="shared" si="28"/>
        <v>0</v>
      </c>
      <c r="BG39" s="504">
        <f t="shared" si="29"/>
        <v>0</v>
      </c>
      <c r="BH39" s="503">
        <f t="shared" si="30"/>
        <v>0</v>
      </c>
      <c r="BI39" s="564">
        <f t="shared" si="31"/>
        <v>0</v>
      </c>
      <c r="BJ39" s="564">
        <f t="shared" si="32"/>
        <v>0</v>
      </c>
      <c r="BK39" s="504">
        <f t="shared" si="33"/>
        <v>0</v>
      </c>
      <c r="BL39" s="503">
        <f t="shared" si="34"/>
        <v>0</v>
      </c>
      <c r="BM39" s="564">
        <f t="shared" si="35"/>
        <v>0</v>
      </c>
      <c r="BN39" s="564">
        <f t="shared" si="36"/>
        <v>0</v>
      </c>
      <c r="BO39" s="504">
        <f t="shared" si="37"/>
        <v>0</v>
      </c>
      <c r="BP39" s="503">
        <f t="shared" si="38"/>
        <v>0</v>
      </c>
      <c r="BQ39" s="564">
        <f t="shared" si="39"/>
        <v>0</v>
      </c>
      <c r="BR39" s="564">
        <f t="shared" si="40"/>
        <v>0</v>
      </c>
      <c r="BS39" s="504">
        <f t="shared" si="41"/>
        <v>0</v>
      </c>
      <c r="BT39" s="573"/>
    </row>
    <row r="40" spans="4:72" ht="15" thickTop="1">
      <c r="D40" s="572"/>
      <c r="E40" s="14"/>
      <c r="F40" s="14"/>
      <c r="G40" s="14"/>
      <c r="H40" s="14"/>
      <c r="I40" s="14"/>
      <c r="J40" s="14"/>
      <c r="K40" s="859" t="s">
        <v>463</v>
      </c>
      <c r="L40" s="860"/>
      <c r="M40" s="673" t="s">
        <v>464</v>
      </c>
      <c r="N40" s="674">
        <f t="shared" ref="N40:AK40" si="45">SUMPRODUCT($K31:$K39,N31:N39)</f>
        <v>251.80124982206411</v>
      </c>
      <c r="O40" s="675">
        <f t="shared" si="45"/>
        <v>477.97333295553801</v>
      </c>
      <c r="P40" s="675">
        <f t="shared" si="45"/>
        <v>275.98564943374566</v>
      </c>
      <c r="Q40" s="676">
        <f t="shared" si="45"/>
        <v>200.83752520959595</v>
      </c>
      <c r="R40" s="674">
        <f t="shared" si="45"/>
        <v>229.60859729537373</v>
      </c>
      <c r="S40" s="675">
        <f t="shared" si="45"/>
        <v>435.84686971199909</v>
      </c>
      <c r="T40" s="675">
        <f t="shared" si="45"/>
        <v>251.66149050060199</v>
      </c>
      <c r="U40" s="676">
        <f t="shared" si="45"/>
        <v>183.13659078434344</v>
      </c>
      <c r="V40" s="674">
        <f t="shared" si="45"/>
        <v>207.41594476868335</v>
      </c>
      <c r="W40" s="675">
        <f t="shared" si="45"/>
        <v>393.72040646846017</v>
      </c>
      <c r="X40" s="675">
        <f t="shared" si="45"/>
        <v>227.33733156745828</v>
      </c>
      <c r="Y40" s="676">
        <f t="shared" si="45"/>
        <v>165.4356563590909</v>
      </c>
      <c r="Z40" s="674">
        <f t="shared" si="45"/>
        <v>216.13517599169472</v>
      </c>
      <c r="AA40" s="675">
        <f t="shared" si="45"/>
        <v>410.05171524698056</v>
      </c>
      <c r="AB40" s="675">
        <f t="shared" si="45"/>
        <v>236.29764830457901</v>
      </c>
      <c r="AC40" s="676">
        <f t="shared" si="45"/>
        <v>171.22729162507312</v>
      </c>
      <c r="AD40" s="674">
        <f t="shared" si="45"/>
        <v>197.08597403988432</v>
      </c>
      <c r="AE40" s="675">
        <f t="shared" si="45"/>
        <v>373.91156407267039</v>
      </c>
      <c r="AF40" s="675">
        <f t="shared" si="45"/>
        <v>215.47141489468393</v>
      </c>
      <c r="AG40" s="676">
        <f t="shared" si="45"/>
        <v>156.13607270218532</v>
      </c>
      <c r="AH40" s="674">
        <f t="shared" si="45"/>
        <v>178.03677208807395</v>
      </c>
      <c r="AI40" s="675">
        <f t="shared" si="45"/>
        <v>337.77141289836027</v>
      </c>
      <c r="AJ40" s="675">
        <f t="shared" si="45"/>
        <v>194.64518148478882</v>
      </c>
      <c r="AK40" s="676">
        <f t="shared" si="45"/>
        <v>141.04485377929748</v>
      </c>
      <c r="AL40" s="573"/>
      <c r="AN40" s="572"/>
      <c r="AO40" s="14"/>
      <c r="AP40" s="14"/>
      <c r="AQ40" s="14"/>
      <c r="AR40" s="14"/>
      <c r="AS40" s="14"/>
      <c r="AT40" s="14"/>
      <c r="AU40" s="493"/>
      <c r="AV40" s="651"/>
      <c r="AW40" s="651"/>
      <c r="AX40" s="651"/>
      <c r="AY40" s="651"/>
      <c r="AZ40" s="651"/>
      <c r="BA40" s="651"/>
      <c r="BB40" s="651"/>
      <c r="BC40" s="651"/>
      <c r="BD40" s="651"/>
      <c r="BE40" s="651"/>
      <c r="BF40" s="651"/>
      <c r="BG40" s="651"/>
      <c r="BH40" s="651"/>
      <c r="BI40" s="651"/>
      <c r="BJ40" s="651"/>
      <c r="BK40" s="651"/>
      <c r="BL40" s="651"/>
      <c r="BM40" s="651"/>
      <c r="BN40" s="651"/>
      <c r="BO40" s="651"/>
      <c r="BP40" s="651"/>
      <c r="BQ40" s="651"/>
      <c r="BR40" s="651"/>
      <c r="BS40" s="651"/>
      <c r="BT40" s="573"/>
    </row>
    <row r="41" spans="4:72">
      <c r="D41" s="572"/>
      <c r="E41" s="14"/>
      <c r="F41" s="14"/>
      <c r="G41" s="14"/>
      <c r="H41" s="14"/>
      <c r="I41" s="14"/>
      <c r="J41" s="14"/>
      <c r="K41" s="861"/>
      <c r="L41" s="862"/>
      <c r="M41" s="659" t="s">
        <v>465</v>
      </c>
      <c r="N41" s="660">
        <f>N40/$N$25</f>
        <v>0.80585559228512516</v>
      </c>
      <c r="O41" s="661">
        <f>O40/$O$25</f>
        <v>0.80175372416700774</v>
      </c>
      <c r="P41" s="661">
        <f>P40/$P$25</f>
        <v>0.8465648305758442</v>
      </c>
      <c r="Q41" s="662">
        <f>Q40/$Q$25</f>
        <v>0.81470318345934878</v>
      </c>
      <c r="R41" s="660">
        <f>R40/$N$25</f>
        <v>0.73483103160914809</v>
      </c>
      <c r="S41" s="661">
        <f>S40/$O$25</f>
        <v>0.73109068407093247</v>
      </c>
      <c r="T41" s="661">
        <f>T40/$P$25</f>
        <v>0.77195233703356636</v>
      </c>
      <c r="U41" s="662">
        <f>U40/$Q$25</f>
        <v>0.74289883508666055</v>
      </c>
      <c r="V41" s="660">
        <f>V40/$N$25</f>
        <v>0.66380647093317091</v>
      </c>
      <c r="W41" s="661">
        <f>W40/$O$25</f>
        <v>0.66042764397485731</v>
      </c>
      <c r="X41" s="661">
        <f>X40/$P$25</f>
        <v>0.69733984349128852</v>
      </c>
      <c r="Y41" s="662">
        <f>Y40/$Q$25</f>
        <v>0.67109448671397209</v>
      </c>
      <c r="Z41" s="660">
        <f>Z40/$N$25</f>
        <v>0.6917111824723553</v>
      </c>
      <c r="AA41" s="661">
        <f>AA40/$O$25</f>
        <v>0.68782182421653637</v>
      </c>
      <c r="AB41" s="661">
        <f>AB40/$P$25</f>
        <v>0.724824928444184</v>
      </c>
      <c r="AC41" s="662">
        <f>AC40/$Q$25</f>
        <v>0.6945884213444995</v>
      </c>
      <c r="AD41" s="660">
        <f>AD40/$N$25</f>
        <v>0.63074680706801201</v>
      </c>
      <c r="AE41" s="661">
        <f>AE40/$O$25</f>
        <v>0.62720023970931615</v>
      </c>
      <c r="AF41" s="661">
        <f>AF40/$P$25</f>
        <v>0.66094205339486611</v>
      </c>
      <c r="AG41" s="662">
        <f>AG40/$Q$25</f>
        <v>0.63337045878532328</v>
      </c>
      <c r="AH41" s="660">
        <f>AH40/$N$25</f>
        <v>0.56978243166366893</v>
      </c>
      <c r="AI41" s="661">
        <f>AI40/$O$25</f>
        <v>0.56657865520209605</v>
      </c>
      <c r="AJ41" s="661">
        <f>AJ40/$P$25</f>
        <v>0.59705917834554822</v>
      </c>
      <c r="AK41" s="662">
        <f>AK40/$Q$25</f>
        <v>0.57215249622614683</v>
      </c>
      <c r="AL41" s="573"/>
      <c r="AN41" s="572"/>
      <c r="AO41" s="14"/>
      <c r="AP41" s="14"/>
      <c r="AQ41" s="14"/>
      <c r="AR41" s="14"/>
      <c r="AS41" s="14"/>
      <c r="AT41" s="14"/>
      <c r="AU41" s="14"/>
      <c r="AV41" s="652"/>
      <c r="AW41" s="629"/>
      <c r="AX41" s="629"/>
      <c r="AY41" s="629"/>
      <c r="AZ41" s="629"/>
      <c r="BA41" s="629"/>
      <c r="BB41" s="629"/>
      <c r="BC41" s="629"/>
      <c r="BD41" s="629"/>
      <c r="BE41" s="629"/>
      <c r="BF41" s="629"/>
      <c r="BG41" s="629"/>
      <c r="BH41" s="629"/>
      <c r="BI41" s="629"/>
      <c r="BJ41" s="629"/>
      <c r="BK41" s="629"/>
      <c r="BL41" s="629"/>
      <c r="BM41" s="629"/>
      <c r="BN41" s="629"/>
      <c r="BO41" s="629"/>
      <c r="BP41" s="629"/>
      <c r="BQ41" s="629"/>
      <c r="BR41" s="629"/>
      <c r="BS41" s="629"/>
      <c r="BT41" s="573"/>
    </row>
    <row r="42" spans="4:72">
      <c r="D42" s="572"/>
      <c r="E42" s="14"/>
      <c r="F42" s="14"/>
      <c r="G42" s="14"/>
      <c r="H42" s="14"/>
      <c r="I42" s="14"/>
      <c r="J42" s="14"/>
      <c r="K42" s="861"/>
      <c r="L42" s="862"/>
      <c r="M42" s="659" t="s">
        <v>466</v>
      </c>
      <c r="N42" s="663">
        <f t="shared" ref="N42:W43" si="46">AV42</f>
        <v>251.80124982206411</v>
      </c>
      <c r="O42" s="664">
        <f t="shared" si="46"/>
        <v>477.97333295553801</v>
      </c>
      <c r="P42" s="664">
        <f t="shared" si="46"/>
        <v>275.98564943374566</v>
      </c>
      <c r="Q42" s="665">
        <f t="shared" si="46"/>
        <v>200.83752520959595</v>
      </c>
      <c r="R42" s="663">
        <f t="shared" si="46"/>
        <v>229.60859729537373</v>
      </c>
      <c r="S42" s="664">
        <f t="shared" si="46"/>
        <v>435.84686971199909</v>
      </c>
      <c r="T42" s="664">
        <f t="shared" si="46"/>
        <v>251.66149050060199</v>
      </c>
      <c r="U42" s="665">
        <f t="shared" si="46"/>
        <v>183.13659078434344</v>
      </c>
      <c r="V42" s="663">
        <f t="shared" si="46"/>
        <v>207.41594476868335</v>
      </c>
      <c r="W42" s="664">
        <f t="shared" si="46"/>
        <v>393.72040646846017</v>
      </c>
      <c r="X42" s="664">
        <f t="shared" ref="X42:AG43" si="47">BF42</f>
        <v>227.33733156745828</v>
      </c>
      <c r="Y42" s="665">
        <f t="shared" si="47"/>
        <v>165.4356563590909</v>
      </c>
      <c r="Z42" s="663">
        <f t="shared" si="47"/>
        <v>216.13517599169472</v>
      </c>
      <c r="AA42" s="664">
        <f t="shared" si="47"/>
        <v>410.05171524698056</v>
      </c>
      <c r="AB42" s="664">
        <f t="shared" si="47"/>
        <v>236.29764830457901</v>
      </c>
      <c r="AC42" s="665">
        <f t="shared" si="47"/>
        <v>171.22729162507312</v>
      </c>
      <c r="AD42" s="663">
        <f t="shared" si="47"/>
        <v>197.08597403988432</v>
      </c>
      <c r="AE42" s="664">
        <f t="shared" si="47"/>
        <v>373.91156407267039</v>
      </c>
      <c r="AF42" s="664">
        <f t="shared" si="47"/>
        <v>215.47141489468393</v>
      </c>
      <c r="AG42" s="665">
        <f t="shared" si="47"/>
        <v>156.13607270218532</v>
      </c>
      <c r="AH42" s="663">
        <f t="shared" ref="AH42:AK43" si="48">BP42</f>
        <v>178.03677208807395</v>
      </c>
      <c r="AI42" s="664">
        <f t="shared" si="48"/>
        <v>337.77141289836027</v>
      </c>
      <c r="AJ42" s="664">
        <f t="shared" si="48"/>
        <v>194.64518148478882</v>
      </c>
      <c r="AK42" s="665">
        <f t="shared" si="48"/>
        <v>141.04485377929748</v>
      </c>
      <c r="AL42" s="573"/>
      <c r="AN42" s="572"/>
      <c r="AO42" s="14"/>
      <c r="AP42" s="14"/>
      <c r="AQ42" s="14"/>
      <c r="AR42" s="14"/>
      <c r="AS42" s="14"/>
      <c r="AT42" s="14"/>
      <c r="AU42" s="14"/>
      <c r="AV42" s="650">
        <f>SUMPRODUCT($K31:$K39,AV31:AV39)</f>
        <v>251.80124982206411</v>
      </c>
      <c r="AW42" s="650">
        <f t="shared" ref="AW42:BS42" si="49">SUMPRODUCT($K31:$K39,AW31:AW39)</f>
        <v>477.97333295553801</v>
      </c>
      <c r="AX42" s="650">
        <f t="shared" si="49"/>
        <v>275.98564943374566</v>
      </c>
      <c r="AY42" s="650">
        <f t="shared" si="49"/>
        <v>200.83752520959595</v>
      </c>
      <c r="AZ42" s="650">
        <f t="shared" si="49"/>
        <v>229.60859729537373</v>
      </c>
      <c r="BA42" s="650">
        <f t="shared" si="49"/>
        <v>435.84686971199909</v>
      </c>
      <c r="BB42" s="650">
        <f t="shared" si="49"/>
        <v>251.66149050060199</v>
      </c>
      <c r="BC42" s="650">
        <f t="shared" si="49"/>
        <v>183.13659078434344</v>
      </c>
      <c r="BD42" s="650">
        <f t="shared" si="49"/>
        <v>207.41594476868335</v>
      </c>
      <c r="BE42" s="650">
        <f t="shared" si="49"/>
        <v>393.72040646846017</v>
      </c>
      <c r="BF42" s="650">
        <f t="shared" si="49"/>
        <v>227.33733156745828</v>
      </c>
      <c r="BG42" s="650">
        <f t="shared" si="49"/>
        <v>165.4356563590909</v>
      </c>
      <c r="BH42" s="650">
        <f t="shared" si="49"/>
        <v>216.13517599169472</v>
      </c>
      <c r="BI42" s="650">
        <f t="shared" si="49"/>
        <v>410.05171524698056</v>
      </c>
      <c r="BJ42" s="650">
        <f t="shared" si="49"/>
        <v>236.29764830457901</v>
      </c>
      <c r="BK42" s="650">
        <f t="shared" si="49"/>
        <v>171.22729162507312</v>
      </c>
      <c r="BL42" s="650">
        <f t="shared" si="49"/>
        <v>197.08597403988432</v>
      </c>
      <c r="BM42" s="650">
        <f t="shared" si="49"/>
        <v>373.91156407267039</v>
      </c>
      <c r="BN42" s="650">
        <f t="shared" si="49"/>
        <v>215.47141489468393</v>
      </c>
      <c r="BO42" s="650">
        <f t="shared" si="49"/>
        <v>156.13607270218532</v>
      </c>
      <c r="BP42" s="650">
        <f t="shared" si="49"/>
        <v>178.03677208807395</v>
      </c>
      <c r="BQ42" s="650">
        <f t="shared" si="49"/>
        <v>337.77141289836027</v>
      </c>
      <c r="BR42" s="650">
        <f t="shared" si="49"/>
        <v>194.64518148478882</v>
      </c>
      <c r="BS42" s="650">
        <f t="shared" si="49"/>
        <v>141.04485377929748</v>
      </c>
      <c r="BT42" s="573"/>
    </row>
    <row r="43" spans="4:72" ht="15" thickBot="1">
      <c r="D43" s="572"/>
      <c r="E43" s="14"/>
      <c r="F43" s="14"/>
      <c r="G43" s="14"/>
      <c r="H43" s="14"/>
      <c r="I43" s="14"/>
      <c r="J43" s="14"/>
      <c r="K43" s="863"/>
      <c r="L43" s="864"/>
      <c r="M43" s="677" t="s">
        <v>104</v>
      </c>
      <c r="N43" s="678">
        <f t="shared" si="46"/>
        <v>1</v>
      </c>
      <c r="O43" s="679">
        <f t="shared" si="46"/>
        <v>1</v>
      </c>
      <c r="P43" s="679">
        <f t="shared" si="46"/>
        <v>1</v>
      </c>
      <c r="Q43" s="680">
        <f t="shared" si="46"/>
        <v>1</v>
      </c>
      <c r="R43" s="678">
        <f t="shared" si="46"/>
        <v>1</v>
      </c>
      <c r="S43" s="679">
        <f t="shared" si="46"/>
        <v>1</v>
      </c>
      <c r="T43" s="679">
        <f t="shared" si="46"/>
        <v>1</v>
      </c>
      <c r="U43" s="680">
        <f t="shared" si="46"/>
        <v>1</v>
      </c>
      <c r="V43" s="678">
        <f t="shared" si="46"/>
        <v>1</v>
      </c>
      <c r="W43" s="679">
        <f t="shared" si="46"/>
        <v>1</v>
      </c>
      <c r="X43" s="679">
        <f t="shared" si="47"/>
        <v>1</v>
      </c>
      <c r="Y43" s="680">
        <f t="shared" si="47"/>
        <v>1</v>
      </c>
      <c r="Z43" s="678">
        <f t="shared" si="47"/>
        <v>1</v>
      </c>
      <c r="AA43" s="679">
        <f t="shared" si="47"/>
        <v>1</v>
      </c>
      <c r="AB43" s="679">
        <f t="shared" si="47"/>
        <v>1</v>
      </c>
      <c r="AC43" s="680">
        <f t="shared" si="47"/>
        <v>1</v>
      </c>
      <c r="AD43" s="678">
        <f t="shared" si="47"/>
        <v>1</v>
      </c>
      <c r="AE43" s="679">
        <f t="shared" si="47"/>
        <v>1</v>
      </c>
      <c r="AF43" s="679">
        <f t="shared" si="47"/>
        <v>1</v>
      </c>
      <c r="AG43" s="680">
        <f t="shared" si="47"/>
        <v>1</v>
      </c>
      <c r="AH43" s="678">
        <f t="shared" si="48"/>
        <v>1</v>
      </c>
      <c r="AI43" s="679">
        <f t="shared" si="48"/>
        <v>1</v>
      </c>
      <c r="AJ43" s="679">
        <f t="shared" si="48"/>
        <v>1</v>
      </c>
      <c r="AK43" s="680">
        <f t="shared" si="48"/>
        <v>1</v>
      </c>
      <c r="AL43" s="573"/>
      <c r="AN43" s="572"/>
      <c r="AO43" s="14"/>
      <c r="AP43" s="14"/>
      <c r="AQ43" s="14"/>
      <c r="AR43" s="14"/>
      <c r="AS43" s="14"/>
      <c r="AT43" s="14"/>
      <c r="AU43" s="14"/>
      <c r="AV43" s="645">
        <f t="shared" ref="AV43:BS43" si="50">AV42/N40</f>
        <v>1</v>
      </c>
      <c r="AW43" s="645">
        <f t="shared" si="50"/>
        <v>1</v>
      </c>
      <c r="AX43" s="645">
        <f t="shared" si="50"/>
        <v>1</v>
      </c>
      <c r="AY43" s="645">
        <f t="shared" si="50"/>
        <v>1</v>
      </c>
      <c r="AZ43" s="645">
        <f t="shared" si="50"/>
        <v>1</v>
      </c>
      <c r="BA43" s="645">
        <f t="shared" si="50"/>
        <v>1</v>
      </c>
      <c r="BB43" s="645">
        <f t="shared" si="50"/>
        <v>1</v>
      </c>
      <c r="BC43" s="645">
        <f t="shared" si="50"/>
        <v>1</v>
      </c>
      <c r="BD43" s="645">
        <f t="shared" si="50"/>
        <v>1</v>
      </c>
      <c r="BE43" s="645">
        <f t="shared" si="50"/>
        <v>1</v>
      </c>
      <c r="BF43" s="645">
        <f t="shared" si="50"/>
        <v>1</v>
      </c>
      <c r="BG43" s="645">
        <f t="shared" si="50"/>
        <v>1</v>
      </c>
      <c r="BH43" s="645">
        <f t="shared" si="50"/>
        <v>1</v>
      </c>
      <c r="BI43" s="645">
        <f t="shared" si="50"/>
        <v>1</v>
      </c>
      <c r="BJ43" s="645">
        <f t="shared" si="50"/>
        <v>1</v>
      </c>
      <c r="BK43" s="645">
        <f t="shared" si="50"/>
        <v>1</v>
      </c>
      <c r="BL43" s="645">
        <f t="shared" si="50"/>
        <v>1</v>
      </c>
      <c r="BM43" s="645">
        <f t="shared" si="50"/>
        <v>1</v>
      </c>
      <c r="BN43" s="645">
        <f t="shared" si="50"/>
        <v>1</v>
      </c>
      <c r="BO43" s="645">
        <f t="shared" si="50"/>
        <v>1</v>
      </c>
      <c r="BP43" s="645">
        <f t="shared" si="50"/>
        <v>1</v>
      </c>
      <c r="BQ43" s="645">
        <f t="shared" si="50"/>
        <v>1</v>
      </c>
      <c r="BR43" s="645">
        <f t="shared" si="50"/>
        <v>1</v>
      </c>
      <c r="BS43" s="645">
        <f t="shared" si="50"/>
        <v>1</v>
      </c>
      <c r="BT43" s="573"/>
    </row>
    <row r="44" spans="4:72" ht="15.75" customHeight="1" thickTop="1">
      <c r="D44" s="572"/>
      <c r="E44" s="14"/>
      <c r="F44" s="14"/>
      <c r="G44" s="14"/>
      <c r="H44" s="14"/>
      <c r="I44" s="14"/>
      <c r="J44" s="14"/>
      <c r="K44" s="859" t="s">
        <v>467</v>
      </c>
      <c r="L44" s="860"/>
      <c r="M44" s="673" t="s">
        <v>464</v>
      </c>
      <c r="N44" s="674">
        <f t="shared" ref="N44:AK44" si="51">SUMPRODUCT($L$31:$L$39,N31:N39)</f>
        <v>72.417182845657067</v>
      </c>
      <c r="O44" s="675">
        <f t="shared" si="51"/>
        <v>153.10701982245234</v>
      </c>
      <c r="P44" s="675">
        <f t="shared" si="51"/>
        <v>83.288704688678735</v>
      </c>
      <c r="Q44" s="676">
        <f t="shared" si="51"/>
        <v>56.447133221380469</v>
      </c>
      <c r="R44" s="674">
        <f t="shared" si="51"/>
        <v>66.034651476209319</v>
      </c>
      <c r="S44" s="675">
        <f t="shared" si="51"/>
        <v>139.6128418042023</v>
      </c>
      <c r="T44" s="675">
        <f t="shared" si="51"/>
        <v>75.948005292388416</v>
      </c>
      <c r="U44" s="676">
        <f t="shared" si="51"/>
        <v>51.472131649326592</v>
      </c>
      <c r="V44" s="674">
        <f t="shared" si="51"/>
        <v>59.652120106761586</v>
      </c>
      <c r="W44" s="675">
        <f t="shared" si="51"/>
        <v>126.11866378595226</v>
      </c>
      <c r="X44" s="675">
        <f t="shared" si="51"/>
        <v>68.607305896098083</v>
      </c>
      <c r="Y44" s="676">
        <f t="shared" si="51"/>
        <v>46.497130077272715</v>
      </c>
      <c r="Z44" s="674">
        <f t="shared" si="51"/>
        <v>24.862417738497861</v>
      </c>
      <c r="AA44" s="675">
        <f t="shared" si="51"/>
        <v>62.544862877709022</v>
      </c>
      <c r="AB44" s="675">
        <f t="shared" si="51"/>
        <v>30.371369849789897</v>
      </c>
      <c r="AC44" s="676">
        <f t="shared" si="51"/>
        <v>16.966821775349999</v>
      </c>
      <c r="AD44" s="674">
        <f t="shared" si="51"/>
        <v>22.671153802223468</v>
      </c>
      <c r="AE44" s="675">
        <f t="shared" si="51"/>
        <v>57.032434285097381</v>
      </c>
      <c r="AF44" s="675">
        <f t="shared" si="51"/>
        <v>27.694571151164347</v>
      </c>
      <c r="AG44" s="676">
        <f t="shared" si="51"/>
        <v>15.47144087311576</v>
      </c>
      <c r="AH44" s="674">
        <f t="shared" si="51"/>
        <v>20.479889865949083</v>
      </c>
      <c r="AI44" s="675">
        <f t="shared" si="51"/>
        <v>51.520005692485739</v>
      </c>
      <c r="AJ44" s="675">
        <f t="shared" si="51"/>
        <v>25.017772452538793</v>
      </c>
      <c r="AK44" s="676">
        <f t="shared" si="51"/>
        <v>13.976059970881522</v>
      </c>
      <c r="AL44" s="573"/>
      <c r="AN44" s="572"/>
      <c r="AO44" s="14"/>
      <c r="AP44" s="14"/>
      <c r="AQ44" s="14"/>
      <c r="AR44" s="14"/>
      <c r="AS44" s="14"/>
      <c r="AT44" s="14"/>
      <c r="AU44" s="14"/>
      <c r="AV44" s="645"/>
      <c r="AW44" s="629"/>
      <c r="AX44" s="629"/>
      <c r="AY44" s="629"/>
      <c r="AZ44" s="629"/>
      <c r="BA44" s="629"/>
      <c r="BB44" s="629"/>
      <c r="BC44" s="629"/>
      <c r="BD44" s="629"/>
      <c r="BE44" s="629"/>
      <c r="BF44" s="629"/>
      <c r="BG44" s="629"/>
      <c r="BH44" s="629"/>
      <c r="BI44" s="629"/>
      <c r="BJ44" s="629"/>
      <c r="BK44" s="629"/>
      <c r="BL44" s="629"/>
      <c r="BM44" s="629"/>
      <c r="BN44" s="629"/>
      <c r="BO44" s="629"/>
      <c r="BP44" s="629"/>
      <c r="BQ44" s="629"/>
      <c r="BR44" s="629"/>
      <c r="BS44" s="629"/>
      <c r="BT44" s="573"/>
    </row>
    <row r="45" spans="4:72">
      <c r="D45" s="572"/>
      <c r="E45" s="14"/>
      <c r="F45" s="14"/>
      <c r="G45" s="14"/>
      <c r="H45" s="14"/>
      <c r="I45" s="14"/>
      <c r="J45" s="14"/>
      <c r="K45" s="861"/>
      <c r="L45" s="862"/>
      <c r="M45" s="659" t="s">
        <v>465</v>
      </c>
      <c r="N45" s="660">
        <f t="shared" ref="N45:AK45" si="52">N44/$N$25</f>
        <v>0.23176132689947265</v>
      </c>
      <c r="O45" s="661">
        <f t="shared" si="52"/>
        <v>0.48999815620145248</v>
      </c>
      <c r="P45" s="661">
        <f t="shared" si="52"/>
        <v>0.26655415131968418</v>
      </c>
      <c r="Q45" s="662">
        <f t="shared" si="52"/>
        <v>0.18065135898672974</v>
      </c>
      <c r="R45" s="660">
        <f t="shared" si="52"/>
        <v>0.21133490486765469</v>
      </c>
      <c r="S45" s="661">
        <f t="shared" si="52"/>
        <v>0.44681187802776512</v>
      </c>
      <c r="T45" s="661">
        <f t="shared" si="52"/>
        <v>0.24306124306777985</v>
      </c>
      <c r="U45" s="662">
        <f t="shared" si="52"/>
        <v>0.16472954429637388</v>
      </c>
      <c r="V45" s="660">
        <f t="shared" si="52"/>
        <v>0.19090848283583681</v>
      </c>
      <c r="W45" s="661">
        <f t="shared" si="52"/>
        <v>0.40362559985407781</v>
      </c>
      <c r="X45" s="661">
        <f t="shared" si="52"/>
        <v>0.21956833481587548</v>
      </c>
      <c r="Y45" s="662">
        <f t="shared" si="52"/>
        <v>0.14880772960601801</v>
      </c>
      <c r="Z45" s="660">
        <f t="shared" si="52"/>
        <v>7.9568780482446116E-2</v>
      </c>
      <c r="AA45" s="661">
        <f t="shared" si="52"/>
        <v>0.20016631193977358</v>
      </c>
      <c r="AB45" s="661">
        <f t="shared" si="52"/>
        <v>9.7199431123190599E-2</v>
      </c>
      <c r="AC45" s="662">
        <f t="shared" si="52"/>
        <v>5.430000137264112E-2</v>
      </c>
      <c r="AD45" s="660">
        <f t="shared" si="52"/>
        <v>7.2555938812806794E-2</v>
      </c>
      <c r="AE45" s="661">
        <f t="shared" si="52"/>
        <v>0.18252453529423421</v>
      </c>
      <c r="AF45" s="661">
        <f t="shared" si="52"/>
        <v>8.8632701600468711E-2</v>
      </c>
      <c r="AG45" s="662">
        <f t="shared" si="52"/>
        <v>4.9514238539798174E-2</v>
      </c>
      <c r="AH45" s="660">
        <f t="shared" si="52"/>
        <v>6.5543097143167472E-2</v>
      </c>
      <c r="AI45" s="661">
        <f t="shared" si="52"/>
        <v>0.16488275864869484</v>
      </c>
      <c r="AJ45" s="661">
        <f t="shared" si="52"/>
        <v>8.0065972077746822E-2</v>
      </c>
      <c r="AK45" s="662">
        <f t="shared" si="52"/>
        <v>4.472847570695522E-2</v>
      </c>
      <c r="AL45" s="573"/>
      <c r="AN45" s="572"/>
      <c r="AO45" s="14"/>
      <c r="AP45" s="14"/>
      <c r="AQ45" s="14"/>
      <c r="AR45" s="14"/>
      <c r="AS45" s="14"/>
      <c r="AT45" s="14"/>
      <c r="AU45" s="14"/>
      <c r="AV45" s="650"/>
      <c r="AW45" s="629"/>
      <c r="AX45" s="629"/>
      <c r="AY45" s="629"/>
      <c r="AZ45" s="629"/>
      <c r="BA45" s="629"/>
      <c r="BB45" s="629"/>
      <c r="BC45" s="629"/>
      <c r="BD45" s="629"/>
      <c r="BE45" s="629"/>
      <c r="BF45" s="629"/>
      <c r="BG45" s="629"/>
      <c r="BH45" s="629"/>
      <c r="BI45" s="629"/>
      <c r="BJ45" s="629"/>
      <c r="BK45" s="629"/>
      <c r="BL45" s="629"/>
      <c r="BM45" s="629"/>
      <c r="BN45" s="629"/>
      <c r="BO45" s="629"/>
      <c r="BP45" s="629"/>
      <c r="BQ45" s="629"/>
      <c r="BR45" s="629"/>
      <c r="BS45" s="629"/>
      <c r="BT45" s="573"/>
    </row>
    <row r="46" spans="4:72">
      <c r="D46" s="572"/>
      <c r="E46" s="14"/>
      <c r="F46" s="14"/>
      <c r="G46" s="14"/>
      <c r="H46" s="14"/>
      <c r="I46" s="14"/>
      <c r="J46" s="14"/>
      <c r="K46" s="861"/>
      <c r="L46" s="862"/>
      <c r="M46" s="659" t="s">
        <v>466</v>
      </c>
      <c r="N46" s="663">
        <f>AV46</f>
        <v>44.985851986731703</v>
      </c>
      <c r="O46" s="664">
        <f t="shared" ref="O46:O47" si="53">AW46</f>
        <v>92.693201826279449</v>
      </c>
      <c r="P46" s="664">
        <f t="shared" ref="P46:P47" si="54">AX46</f>
        <v>51.134091051772103</v>
      </c>
      <c r="Q46" s="665">
        <f t="shared" ref="Q46:Q47" si="55">AY46</f>
        <v>35.268107734848485</v>
      </c>
      <c r="R46" s="663">
        <f t="shared" ref="R46:R47" si="56">AZ46</f>
        <v>41.020997235358735</v>
      </c>
      <c r="S46" s="664">
        <f t="shared" ref="S46:S47" si="57">BA46</f>
        <v>84.523631495827701</v>
      </c>
      <c r="T46" s="664">
        <f t="shared" ref="T46:T47" si="58">BB46</f>
        <v>46.627357603141348</v>
      </c>
      <c r="U46" s="665">
        <f t="shared" ref="U46:U47" si="59">BC46</f>
        <v>32.159732137878784</v>
      </c>
      <c r="V46" s="663">
        <f t="shared" ref="V46:V47" si="60">BD46</f>
        <v>37.056142483985781</v>
      </c>
      <c r="W46" s="664">
        <f t="shared" ref="W46:W47" si="61">BE46</f>
        <v>76.354061165375953</v>
      </c>
      <c r="X46" s="664">
        <f t="shared" ref="X46:X47" si="62">BF46</f>
        <v>42.12062415451058</v>
      </c>
      <c r="Y46" s="665">
        <f t="shared" ref="Y46:Y47" si="63">BG46</f>
        <v>29.051356540909083</v>
      </c>
      <c r="Z46" s="663">
        <f t="shared" ref="Z46:Z47" si="64">BH46</f>
        <v>21.2084694331521</v>
      </c>
      <c r="AA46" s="664">
        <f t="shared" ref="AA46:AA47" si="65">BI46</f>
        <v>47.412123353907788</v>
      </c>
      <c r="AB46" s="664">
        <f t="shared" ref="AB46:AB47" si="66">BJ46</f>
        <v>24.675423632327686</v>
      </c>
      <c r="AC46" s="665">
        <f t="shared" ref="AC46:AC47" si="67">BK46</f>
        <v>15.527952011833248</v>
      </c>
      <c r="AD46" s="663">
        <f t="shared" ref="AD46:AD47" si="68">BL46</f>
        <v>19.339248398365811</v>
      </c>
      <c r="AE46" s="664">
        <f t="shared" ref="AE46:AE47" si="69">BM46</f>
        <v>43.233427736275239</v>
      </c>
      <c r="AF46" s="664">
        <f t="shared" ref="AF46:AF47" si="70">BN46</f>
        <v>22.500640532529314</v>
      </c>
      <c r="AG46" s="665">
        <f t="shared" ref="AG46:AG47" si="71">BO46</f>
        <v>14.159386749773368</v>
      </c>
      <c r="AH46" s="663">
        <f t="shared" ref="AH46:AH47" si="72">BP46</f>
        <v>17.470027363579526</v>
      </c>
      <c r="AI46" s="664">
        <f t="shared" ref="AI46:AI47" si="73">BQ46</f>
        <v>39.05473211864269</v>
      </c>
      <c r="AJ46" s="664">
        <f t="shared" ref="AJ46:AJ47" si="74">BR46</f>
        <v>20.325857432730942</v>
      </c>
      <c r="AK46" s="665">
        <f t="shared" ref="AK46:AK47" si="75">BS46</f>
        <v>12.790821487713488</v>
      </c>
      <c r="AL46" s="573"/>
      <c r="AN46" s="572"/>
      <c r="AO46" s="14"/>
      <c r="AP46" s="14"/>
      <c r="AQ46" s="14"/>
      <c r="AR46" s="14"/>
      <c r="AS46" s="14"/>
      <c r="AT46" s="14"/>
      <c r="AU46" s="14"/>
      <c r="AV46" s="650">
        <f>SUMPRODUCT($L31:$L39,AV31:AV39)</f>
        <v>44.985851986731703</v>
      </c>
      <c r="AW46" s="650">
        <f t="shared" ref="AW46:BS46" si="76">SUMPRODUCT($L31:$L39,AW31:AW39)</f>
        <v>92.693201826279449</v>
      </c>
      <c r="AX46" s="650">
        <f t="shared" si="76"/>
        <v>51.134091051772103</v>
      </c>
      <c r="AY46" s="650">
        <f t="shared" si="76"/>
        <v>35.268107734848485</v>
      </c>
      <c r="AZ46" s="650">
        <f t="shared" si="76"/>
        <v>41.020997235358735</v>
      </c>
      <c r="BA46" s="650">
        <f t="shared" si="76"/>
        <v>84.523631495827701</v>
      </c>
      <c r="BB46" s="650">
        <f t="shared" si="76"/>
        <v>46.627357603141348</v>
      </c>
      <c r="BC46" s="650">
        <f t="shared" si="76"/>
        <v>32.159732137878784</v>
      </c>
      <c r="BD46" s="650">
        <f t="shared" si="76"/>
        <v>37.056142483985781</v>
      </c>
      <c r="BE46" s="650">
        <f t="shared" si="76"/>
        <v>76.354061165375953</v>
      </c>
      <c r="BF46" s="650">
        <f t="shared" si="76"/>
        <v>42.12062415451058</v>
      </c>
      <c r="BG46" s="650">
        <f t="shared" si="76"/>
        <v>29.051356540909083</v>
      </c>
      <c r="BH46" s="650">
        <f t="shared" si="76"/>
        <v>21.2084694331521</v>
      </c>
      <c r="BI46" s="650">
        <f t="shared" si="76"/>
        <v>47.412123353907788</v>
      </c>
      <c r="BJ46" s="650">
        <f t="shared" si="76"/>
        <v>24.675423632327686</v>
      </c>
      <c r="BK46" s="650">
        <f t="shared" si="76"/>
        <v>15.527952011833248</v>
      </c>
      <c r="BL46" s="650">
        <f t="shared" si="76"/>
        <v>19.339248398365811</v>
      </c>
      <c r="BM46" s="650">
        <f t="shared" si="76"/>
        <v>43.233427736275239</v>
      </c>
      <c r="BN46" s="650">
        <f t="shared" si="76"/>
        <v>22.500640532529314</v>
      </c>
      <c r="BO46" s="650">
        <f t="shared" si="76"/>
        <v>14.159386749773368</v>
      </c>
      <c r="BP46" s="650">
        <f t="shared" si="76"/>
        <v>17.470027363579526</v>
      </c>
      <c r="BQ46" s="650">
        <f t="shared" si="76"/>
        <v>39.05473211864269</v>
      </c>
      <c r="BR46" s="650">
        <f t="shared" si="76"/>
        <v>20.325857432730942</v>
      </c>
      <c r="BS46" s="650">
        <f t="shared" si="76"/>
        <v>12.790821487713488</v>
      </c>
      <c r="BT46" s="573"/>
    </row>
    <row r="47" spans="4:72" ht="15" thickBot="1">
      <c r="D47" s="572"/>
      <c r="E47" s="14"/>
      <c r="F47" s="14"/>
      <c r="G47" s="14"/>
      <c r="H47" s="14"/>
      <c r="I47" s="14"/>
      <c r="J47" s="14"/>
      <c r="K47" s="863"/>
      <c r="L47" s="864"/>
      <c r="M47" s="677" t="s">
        <v>104</v>
      </c>
      <c r="N47" s="678">
        <f>AV47</f>
        <v>0.62120411508702522</v>
      </c>
      <c r="O47" s="679">
        <f t="shared" si="53"/>
        <v>0.60541444757901608</v>
      </c>
      <c r="P47" s="679">
        <f t="shared" si="54"/>
        <v>0.61393788320882192</v>
      </c>
      <c r="Q47" s="680">
        <f t="shared" si="55"/>
        <v>0.62479891753811845</v>
      </c>
      <c r="R47" s="678">
        <f t="shared" si="56"/>
        <v>0.62120411508702522</v>
      </c>
      <c r="S47" s="679">
        <f t="shared" si="57"/>
        <v>0.60541444757901608</v>
      </c>
      <c r="T47" s="679">
        <f t="shared" si="58"/>
        <v>0.61393788320882192</v>
      </c>
      <c r="U47" s="680">
        <f t="shared" si="59"/>
        <v>0.62479891753811845</v>
      </c>
      <c r="V47" s="678">
        <f t="shared" si="60"/>
        <v>0.62120411508702533</v>
      </c>
      <c r="W47" s="679">
        <f t="shared" si="61"/>
        <v>0.60541444757901608</v>
      </c>
      <c r="X47" s="679">
        <f t="shared" si="62"/>
        <v>0.61393788320882181</v>
      </c>
      <c r="Y47" s="680">
        <f t="shared" si="63"/>
        <v>0.62479891753811845</v>
      </c>
      <c r="Z47" s="678">
        <f t="shared" si="64"/>
        <v>0.85303326716742212</v>
      </c>
      <c r="AA47" s="679">
        <f t="shared" si="65"/>
        <v>0.75804984090556637</v>
      </c>
      <c r="AB47" s="679">
        <f t="shared" si="66"/>
        <v>0.81245672336700303</v>
      </c>
      <c r="AC47" s="680">
        <f t="shared" si="67"/>
        <v>0.9151950917756918</v>
      </c>
      <c r="AD47" s="678">
        <f t="shared" si="68"/>
        <v>0.85303326716742223</v>
      </c>
      <c r="AE47" s="679">
        <f t="shared" si="69"/>
        <v>0.75804984090556637</v>
      </c>
      <c r="AF47" s="679">
        <f t="shared" si="70"/>
        <v>0.81245672336700303</v>
      </c>
      <c r="AG47" s="680">
        <f t="shared" si="71"/>
        <v>0.9151950917756918</v>
      </c>
      <c r="AH47" s="678">
        <f t="shared" si="72"/>
        <v>0.85303326716742212</v>
      </c>
      <c r="AI47" s="679">
        <f t="shared" si="73"/>
        <v>0.75804984090556637</v>
      </c>
      <c r="AJ47" s="679">
        <f t="shared" si="74"/>
        <v>0.81245672336700314</v>
      </c>
      <c r="AK47" s="680">
        <f t="shared" si="75"/>
        <v>0.91519509177569192</v>
      </c>
      <c r="AL47" s="573"/>
      <c r="AN47" s="572"/>
      <c r="AO47" s="14"/>
      <c r="AP47" s="14"/>
      <c r="AQ47" s="14"/>
      <c r="AR47" s="14"/>
      <c r="AS47" s="14"/>
      <c r="AT47" s="14"/>
      <c r="AU47" s="14"/>
      <c r="AV47" s="645">
        <f t="shared" ref="AV47:BS47" si="77">AV46/N44</f>
        <v>0.62120411508702522</v>
      </c>
      <c r="AW47" s="645">
        <f t="shared" si="77"/>
        <v>0.60541444757901608</v>
      </c>
      <c r="AX47" s="645">
        <f t="shared" si="77"/>
        <v>0.61393788320882192</v>
      </c>
      <c r="AY47" s="645">
        <f t="shared" si="77"/>
        <v>0.62479891753811845</v>
      </c>
      <c r="AZ47" s="645">
        <f t="shared" si="77"/>
        <v>0.62120411508702522</v>
      </c>
      <c r="BA47" s="645">
        <f t="shared" si="77"/>
        <v>0.60541444757901608</v>
      </c>
      <c r="BB47" s="645">
        <f t="shared" si="77"/>
        <v>0.61393788320882192</v>
      </c>
      <c r="BC47" s="645">
        <f t="shared" si="77"/>
        <v>0.62479891753811845</v>
      </c>
      <c r="BD47" s="645">
        <f t="shared" si="77"/>
        <v>0.62120411508702533</v>
      </c>
      <c r="BE47" s="645">
        <f t="shared" si="77"/>
        <v>0.60541444757901608</v>
      </c>
      <c r="BF47" s="645">
        <f t="shared" si="77"/>
        <v>0.61393788320882181</v>
      </c>
      <c r="BG47" s="645">
        <f t="shared" si="77"/>
        <v>0.62479891753811845</v>
      </c>
      <c r="BH47" s="645">
        <f t="shared" si="77"/>
        <v>0.85303326716742212</v>
      </c>
      <c r="BI47" s="645">
        <f t="shared" si="77"/>
        <v>0.75804984090556637</v>
      </c>
      <c r="BJ47" s="645">
        <f t="shared" si="77"/>
        <v>0.81245672336700303</v>
      </c>
      <c r="BK47" s="645">
        <f t="shared" si="77"/>
        <v>0.9151950917756918</v>
      </c>
      <c r="BL47" s="645">
        <f t="shared" si="77"/>
        <v>0.85303326716742223</v>
      </c>
      <c r="BM47" s="645">
        <f t="shared" si="77"/>
        <v>0.75804984090556637</v>
      </c>
      <c r="BN47" s="645">
        <f t="shared" si="77"/>
        <v>0.81245672336700303</v>
      </c>
      <c r="BO47" s="645">
        <f t="shared" si="77"/>
        <v>0.9151950917756918</v>
      </c>
      <c r="BP47" s="645">
        <f t="shared" si="77"/>
        <v>0.85303326716742212</v>
      </c>
      <c r="BQ47" s="645">
        <f t="shared" si="77"/>
        <v>0.75804984090556637</v>
      </c>
      <c r="BR47" s="645">
        <f t="shared" si="77"/>
        <v>0.81245672336700314</v>
      </c>
      <c r="BS47" s="645">
        <f t="shared" si="77"/>
        <v>0.91519509177569192</v>
      </c>
      <c r="BT47" s="573"/>
    </row>
    <row r="48" spans="4:72" ht="15.75" customHeight="1" thickTop="1">
      <c r="D48" s="572"/>
      <c r="E48" s="14"/>
      <c r="F48" s="14"/>
      <c r="G48" s="14"/>
      <c r="H48" s="14"/>
      <c r="I48" s="14"/>
      <c r="J48" s="14"/>
      <c r="K48" s="859" t="s">
        <v>468</v>
      </c>
      <c r="L48" s="860"/>
      <c r="M48" s="673" t="s">
        <v>464</v>
      </c>
      <c r="N48" s="674">
        <f t="shared" ref="N48:AK48" si="78">SUMPRODUCT($M$31:$M$39,N31:N39)</f>
        <v>75.160315931549619</v>
      </c>
      <c r="O48" s="675">
        <f t="shared" si="78"/>
        <v>159.14840162206963</v>
      </c>
      <c r="P48" s="675">
        <f t="shared" si="78"/>
        <v>86.504166052369413</v>
      </c>
      <c r="Q48" s="676">
        <f t="shared" si="78"/>
        <v>58.56503577003366</v>
      </c>
      <c r="R48" s="674">
        <f t="shared" si="78"/>
        <v>68.536016900294385</v>
      </c>
      <c r="S48" s="675">
        <f t="shared" si="78"/>
        <v>145.12176283503976</v>
      </c>
      <c r="T48" s="675">
        <f t="shared" si="78"/>
        <v>78.88007006131312</v>
      </c>
      <c r="U48" s="676">
        <f t="shared" si="78"/>
        <v>53.403371600471381</v>
      </c>
      <c r="V48" s="674">
        <f t="shared" si="78"/>
        <v>61.911717869039173</v>
      </c>
      <c r="W48" s="675">
        <f t="shared" si="78"/>
        <v>131.09512404800989</v>
      </c>
      <c r="X48" s="675">
        <f t="shared" si="78"/>
        <v>71.25597407025684</v>
      </c>
      <c r="Y48" s="676">
        <f t="shared" si="78"/>
        <v>48.241707430909088</v>
      </c>
      <c r="Z48" s="674">
        <f t="shared" si="78"/>
        <v>25.227812569032437</v>
      </c>
      <c r="AA48" s="675">
        <f t="shared" si="78"/>
        <v>64.058136830089154</v>
      </c>
      <c r="AB48" s="675">
        <f t="shared" si="78"/>
        <v>30.94096447153612</v>
      </c>
      <c r="AC48" s="676">
        <f t="shared" si="78"/>
        <v>17.110708751701672</v>
      </c>
      <c r="AD48" s="703">
        <f t="shared" si="78"/>
        <v>23.004344342609237</v>
      </c>
      <c r="AE48" s="704">
        <f t="shared" si="78"/>
        <v>58.412334939979594</v>
      </c>
      <c r="AF48" s="704">
        <f t="shared" si="78"/>
        <v>28.21396421302785</v>
      </c>
      <c r="AG48" s="705">
        <f t="shared" si="78"/>
        <v>15.60264628545</v>
      </c>
      <c r="AH48" s="674">
        <f t="shared" si="78"/>
        <v>20.780876116186043</v>
      </c>
      <c r="AI48" s="675">
        <f t="shared" si="78"/>
        <v>52.766533049870048</v>
      </c>
      <c r="AJ48" s="675">
        <f t="shared" si="78"/>
        <v>25.486963954519581</v>
      </c>
      <c r="AK48" s="676">
        <f t="shared" si="78"/>
        <v>14.094583819198327</v>
      </c>
      <c r="AL48" s="573"/>
      <c r="AN48" s="572"/>
      <c r="AO48" s="14"/>
      <c r="AP48" s="14"/>
      <c r="AQ48" s="14"/>
      <c r="AR48" s="14"/>
      <c r="AS48" s="14"/>
      <c r="AT48" s="14"/>
      <c r="AU48" s="14"/>
      <c r="AV48" s="645"/>
      <c r="AW48" s="629"/>
      <c r="AX48" s="629"/>
      <c r="AY48" s="629"/>
      <c r="AZ48" s="629"/>
      <c r="BA48" s="629"/>
      <c r="BB48" s="629"/>
      <c r="BC48" s="629"/>
      <c r="BD48" s="629"/>
      <c r="BE48" s="629"/>
      <c r="BF48" s="629"/>
      <c r="BG48" s="629"/>
      <c r="BH48" s="629"/>
      <c r="BI48" s="629"/>
      <c r="BJ48" s="629"/>
      <c r="BK48" s="629"/>
      <c r="BL48" s="629"/>
      <c r="BM48" s="629"/>
      <c r="BN48" s="629"/>
      <c r="BO48" s="629"/>
      <c r="BP48" s="629"/>
      <c r="BQ48" s="629"/>
      <c r="BR48" s="629"/>
      <c r="BS48" s="629"/>
      <c r="BT48" s="573"/>
    </row>
    <row r="49" spans="4:72">
      <c r="D49" s="572"/>
      <c r="E49" s="14"/>
      <c r="F49" s="14"/>
      <c r="G49" s="14"/>
      <c r="H49" s="14"/>
      <c r="I49" s="14"/>
      <c r="J49" s="14"/>
      <c r="K49" s="861"/>
      <c r="L49" s="862"/>
      <c r="M49" s="659" t="s">
        <v>465</v>
      </c>
      <c r="N49" s="660">
        <f t="shared" ref="N49:AK49" si="79">N48/$N$25</f>
        <v>0.24054035059062179</v>
      </c>
      <c r="O49" s="661">
        <f t="shared" si="79"/>
        <v>0.50933277551645384</v>
      </c>
      <c r="P49" s="661">
        <f t="shared" si="79"/>
        <v>0.27684479730947958</v>
      </c>
      <c r="Q49" s="662">
        <f t="shared" si="79"/>
        <v>0.18742941753073281</v>
      </c>
      <c r="R49" s="660">
        <f t="shared" si="79"/>
        <v>0.21934018409788897</v>
      </c>
      <c r="S49" s="661">
        <f t="shared" si="79"/>
        <v>0.46444242919974943</v>
      </c>
      <c r="T49" s="661">
        <f t="shared" si="79"/>
        <v>0.25244491686864406</v>
      </c>
      <c r="U49" s="662">
        <f t="shared" si="79"/>
        <v>0.17091021462971909</v>
      </c>
      <c r="V49" s="660">
        <f t="shared" si="79"/>
        <v>0.19814001760515623</v>
      </c>
      <c r="W49" s="661">
        <f t="shared" si="79"/>
        <v>0.41955208288304502</v>
      </c>
      <c r="X49" s="661">
        <f t="shared" si="79"/>
        <v>0.2280450364278086</v>
      </c>
      <c r="Y49" s="662">
        <f t="shared" si="79"/>
        <v>0.15439101172870534</v>
      </c>
      <c r="Z49" s="660">
        <f t="shared" si="79"/>
        <v>8.0738176852743898E-2</v>
      </c>
      <c r="AA49" s="661">
        <f t="shared" si="79"/>
        <v>0.20500933904169102</v>
      </c>
      <c r="AB49" s="661">
        <f t="shared" si="79"/>
        <v>9.9022341103161243E-2</v>
      </c>
      <c r="AC49" s="662">
        <f t="shared" si="79"/>
        <v>5.476049203593978E-2</v>
      </c>
      <c r="AD49" s="706">
        <f t="shared" si="79"/>
        <v>7.362226974029866E-2</v>
      </c>
      <c r="AE49" s="707">
        <f t="shared" si="79"/>
        <v>0.18694071932954195</v>
      </c>
      <c r="AF49" s="707">
        <f t="shared" si="79"/>
        <v>9.0294948327967375E-2</v>
      </c>
      <c r="AG49" s="708">
        <f t="shared" si="79"/>
        <v>4.9934143585314582E-2</v>
      </c>
      <c r="AH49" s="660">
        <f t="shared" si="79"/>
        <v>6.6506362627853449E-2</v>
      </c>
      <c r="AI49" s="661">
        <f t="shared" si="79"/>
        <v>0.16887209961739294</v>
      </c>
      <c r="AJ49" s="661">
        <f t="shared" si="79"/>
        <v>8.1567555552773494E-2</v>
      </c>
      <c r="AK49" s="662">
        <f t="shared" si="79"/>
        <v>4.5107795134689384E-2</v>
      </c>
      <c r="AL49" s="573"/>
      <c r="AN49" s="572"/>
      <c r="AO49" s="14"/>
      <c r="AP49" s="14"/>
      <c r="AQ49" s="14"/>
      <c r="AR49" s="14"/>
      <c r="AS49" s="14"/>
      <c r="AT49" s="14"/>
      <c r="AU49" s="14"/>
      <c r="AV49" s="645"/>
      <c r="AW49" s="629"/>
      <c r="AX49" s="629"/>
      <c r="AY49" s="629"/>
      <c r="AZ49" s="629"/>
      <c r="BA49" s="629"/>
      <c r="BB49" s="629"/>
      <c r="BC49" s="629"/>
      <c r="BD49" s="629"/>
      <c r="BE49" s="629"/>
      <c r="BF49" s="629"/>
      <c r="BG49" s="629"/>
      <c r="BH49" s="629"/>
      <c r="BI49" s="629"/>
      <c r="BJ49" s="629"/>
      <c r="BK49" s="629"/>
      <c r="BL49" s="629"/>
      <c r="BM49" s="629"/>
      <c r="BN49" s="629"/>
      <c r="BO49" s="629"/>
      <c r="BP49" s="629"/>
      <c r="BQ49" s="629"/>
      <c r="BR49" s="629"/>
      <c r="BS49" s="629"/>
      <c r="BT49" s="573"/>
    </row>
    <row r="50" spans="4:72">
      <c r="D50" s="572"/>
      <c r="E50" s="14"/>
      <c r="F50" s="14"/>
      <c r="G50" s="14"/>
      <c r="H50" s="14"/>
      <c r="I50" s="14"/>
      <c r="J50" s="14"/>
      <c r="K50" s="861"/>
      <c r="L50" s="862"/>
      <c r="M50" s="659" t="s">
        <v>466</v>
      </c>
      <c r="N50" s="663">
        <f>AV50</f>
        <v>58.701517416194392</v>
      </c>
      <c r="O50" s="664">
        <f t="shared" ref="O50:O51" si="80">AW50</f>
        <v>122.9001108243659</v>
      </c>
      <c r="P50" s="664">
        <f t="shared" ref="P50:P51" si="81">AX50</f>
        <v>67.211397870225426</v>
      </c>
      <c r="Q50" s="665">
        <f t="shared" ref="Q50:Q51" si="82">AY50</f>
        <v>45.85762047811447</v>
      </c>
      <c r="R50" s="663">
        <f t="shared" ref="R50:R51" si="83">AZ50</f>
        <v>53.527824355784034</v>
      </c>
      <c r="S50" s="664">
        <f t="shared" ref="S50:S51" si="84">BA50</f>
        <v>112.06823665001501</v>
      </c>
      <c r="T50" s="664">
        <f t="shared" ref="T50:T51" si="85">BB50</f>
        <v>61.287681447764882</v>
      </c>
      <c r="U50" s="665">
        <f t="shared" ref="U50:U51" si="86">BC50</f>
        <v>41.815931893602695</v>
      </c>
      <c r="V50" s="663">
        <f t="shared" ref="V50:V51" si="87">BD50</f>
        <v>48.354131295373683</v>
      </c>
      <c r="W50" s="664">
        <f t="shared" ref="W50:W51" si="88">BE50</f>
        <v>101.23636247566411</v>
      </c>
      <c r="X50" s="664">
        <f t="shared" ref="X50:X51" si="89">BF50</f>
        <v>55.363965025304331</v>
      </c>
      <c r="Y50" s="665">
        <f t="shared" ref="Y50:Y51" si="90">BG50</f>
        <v>37.774243309090906</v>
      </c>
      <c r="Z50" s="663">
        <f t="shared" ref="Z50:Z51" si="91">BH50</f>
        <v>23.035443585824979</v>
      </c>
      <c r="AA50" s="664">
        <f t="shared" ref="AA50:AA51" si="92">BI50</f>
        <v>54.978493115808405</v>
      </c>
      <c r="AB50" s="664">
        <f t="shared" ref="AB50:AB51" si="93">BJ50</f>
        <v>27.523396741058789</v>
      </c>
      <c r="AC50" s="665">
        <f t="shared" ref="AC50:AC51" si="94">BK50</f>
        <v>16.247386893591624</v>
      </c>
      <c r="AD50" s="709">
        <f t="shared" ref="AD50" si="95">BL50</f>
        <v>21.005201100294641</v>
      </c>
      <c r="AE50" s="710">
        <f t="shared" ref="AE50:AE51" si="96">BM50</f>
        <v>50.132931010686306</v>
      </c>
      <c r="AF50" s="710">
        <f t="shared" ref="AF50:AF51" si="97">BN50</f>
        <v>25.097605841846828</v>
      </c>
      <c r="AG50" s="711">
        <f t="shared" ref="AG50:AG51" si="98">BO50</f>
        <v>14.815413811444564</v>
      </c>
      <c r="AH50" s="663">
        <f t="shared" ref="AH50:AH51" si="99">BP50</f>
        <v>18.974958614764304</v>
      </c>
      <c r="AI50" s="664">
        <f t="shared" ref="AI50:AI51" si="100">BQ50</f>
        <v>45.287368905564222</v>
      </c>
      <c r="AJ50" s="664">
        <f t="shared" ref="AJ50:AJ51" si="101">BR50</f>
        <v>22.671814942634867</v>
      </c>
      <c r="AK50" s="665">
        <f t="shared" ref="AK50:AK51" si="102">BS50</f>
        <v>13.383440729297506</v>
      </c>
      <c r="AL50" s="573"/>
      <c r="AN50" s="572"/>
      <c r="AO50" s="14"/>
      <c r="AP50" s="14"/>
      <c r="AQ50" s="14"/>
      <c r="AR50" s="14"/>
      <c r="AS50" s="14"/>
      <c r="AT50" s="14"/>
      <c r="AU50" s="14"/>
      <c r="AV50" s="650">
        <f>SUMPRODUCT($M31:$M39,AV31:AV39)</f>
        <v>58.701517416194392</v>
      </c>
      <c r="AW50" s="650">
        <f t="shared" ref="AW50:BS50" si="103">SUMPRODUCT($M31:$M39,AW31:AW39)</f>
        <v>122.9001108243659</v>
      </c>
      <c r="AX50" s="650">
        <f t="shared" si="103"/>
        <v>67.211397870225426</v>
      </c>
      <c r="AY50" s="650">
        <f t="shared" si="103"/>
        <v>45.85762047811447</v>
      </c>
      <c r="AZ50" s="650">
        <f t="shared" si="103"/>
        <v>53.527824355784034</v>
      </c>
      <c r="BA50" s="650">
        <f t="shared" si="103"/>
        <v>112.06823665001501</v>
      </c>
      <c r="BB50" s="650">
        <f t="shared" si="103"/>
        <v>61.287681447764882</v>
      </c>
      <c r="BC50" s="650">
        <f t="shared" si="103"/>
        <v>41.815931893602695</v>
      </c>
      <c r="BD50" s="650">
        <f t="shared" si="103"/>
        <v>48.354131295373683</v>
      </c>
      <c r="BE50" s="650">
        <f t="shared" si="103"/>
        <v>101.23636247566411</v>
      </c>
      <c r="BF50" s="650">
        <f t="shared" si="103"/>
        <v>55.363965025304331</v>
      </c>
      <c r="BG50" s="650">
        <f t="shared" si="103"/>
        <v>37.774243309090906</v>
      </c>
      <c r="BH50" s="650">
        <f t="shared" si="103"/>
        <v>23.035443585824979</v>
      </c>
      <c r="BI50" s="650">
        <f t="shared" si="103"/>
        <v>54.978493115808405</v>
      </c>
      <c r="BJ50" s="650">
        <f t="shared" si="103"/>
        <v>27.523396741058789</v>
      </c>
      <c r="BK50" s="650">
        <f t="shared" si="103"/>
        <v>16.247386893591624</v>
      </c>
      <c r="BL50" s="650">
        <f t="shared" si="103"/>
        <v>21.005201100294641</v>
      </c>
      <c r="BM50" s="650">
        <f t="shared" si="103"/>
        <v>50.132931010686306</v>
      </c>
      <c r="BN50" s="650">
        <f t="shared" si="103"/>
        <v>25.097605841846828</v>
      </c>
      <c r="BO50" s="650">
        <f t="shared" si="103"/>
        <v>14.815413811444564</v>
      </c>
      <c r="BP50" s="650">
        <f t="shared" si="103"/>
        <v>18.974958614764304</v>
      </c>
      <c r="BQ50" s="650">
        <f t="shared" si="103"/>
        <v>45.287368905564222</v>
      </c>
      <c r="BR50" s="650">
        <f t="shared" si="103"/>
        <v>22.671814942634867</v>
      </c>
      <c r="BS50" s="650">
        <f t="shared" si="103"/>
        <v>13.383440729297506</v>
      </c>
      <c r="BT50" s="573"/>
    </row>
    <row r="51" spans="4:72" ht="15" thickBot="1">
      <c r="D51" s="572"/>
      <c r="E51" s="14"/>
      <c r="F51" s="14"/>
      <c r="G51" s="14"/>
      <c r="H51" s="14"/>
      <c r="I51" s="14"/>
      <c r="J51" s="14"/>
      <c r="K51" s="863"/>
      <c r="L51" s="864"/>
      <c r="M51" s="677" t="s">
        <v>104</v>
      </c>
      <c r="N51" s="678">
        <f>AV51</f>
        <v>0.78101743837340087</v>
      </c>
      <c r="O51" s="679">
        <f t="shared" si="80"/>
        <v>0.77223591045681561</v>
      </c>
      <c r="P51" s="679">
        <f t="shared" si="81"/>
        <v>0.77697295907732133</v>
      </c>
      <c r="Q51" s="680">
        <f t="shared" si="82"/>
        <v>0.78302044684447591</v>
      </c>
      <c r="R51" s="678">
        <f t="shared" si="83"/>
        <v>0.78101743837340087</v>
      </c>
      <c r="S51" s="679">
        <f t="shared" si="84"/>
        <v>0.77223591045681572</v>
      </c>
      <c r="T51" s="679">
        <f t="shared" si="85"/>
        <v>0.77697295907732133</v>
      </c>
      <c r="U51" s="680">
        <f t="shared" si="86"/>
        <v>0.78302044684447591</v>
      </c>
      <c r="V51" s="678">
        <f t="shared" si="87"/>
        <v>0.78101743837340087</v>
      </c>
      <c r="W51" s="679">
        <f t="shared" si="88"/>
        <v>0.77223591045681561</v>
      </c>
      <c r="X51" s="679">
        <f t="shared" si="89"/>
        <v>0.77697295907732122</v>
      </c>
      <c r="Y51" s="680">
        <f t="shared" si="90"/>
        <v>0.78302044684447591</v>
      </c>
      <c r="Z51" s="678">
        <f t="shared" si="91"/>
        <v>0.91309714319430813</v>
      </c>
      <c r="AA51" s="679">
        <f t="shared" si="92"/>
        <v>0.8582593224906927</v>
      </c>
      <c r="AB51" s="679">
        <f t="shared" si="93"/>
        <v>0.88954553328092623</v>
      </c>
      <c r="AC51" s="680">
        <f t="shared" si="94"/>
        <v>0.94954493874929702</v>
      </c>
      <c r="AD51" s="699">
        <f>BL51</f>
        <v>0.91309714319430824</v>
      </c>
      <c r="AE51" s="700">
        <f t="shared" si="96"/>
        <v>0.8582593224906927</v>
      </c>
      <c r="AF51" s="700">
        <f t="shared" si="97"/>
        <v>0.88954553328092623</v>
      </c>
      <c r="AG51" s="701">
        <f t="shared" si="98"/>
        <v>0.94954493874929691</v>
      </c>
      <c r="AH51" s="678">
        <f t="shared" si="99"/>
        <v>0.91309714319430813</v>
      </c>
      <c r="AI51" s="679">
        <f t="shared" si="100"/>
        <v>0.85825932249069292</v>
      </c>
      <c r="AJ51" s="679">
        <f t="shared" si="101"/>
        <v>0.88954553328092634</v>
      </c>
      <c r="AK51" s="680">
        <f t="shared" si="102"/>
        <v>0.94954493874929691</v>
      </c>
      <c r="AL51" s="573"/>
      <c r="AN51" s="572"/>
      <c r="AO51" s="14"/>
      <c r="AP51" s="14"/>
      <c r="AQ51" s="14"/>
      <c r="AR51" s="14"/>
      <c r="AS51" s="14"/>
      <c r="AT51" s="14"/>
      <c r="AU51" s="14"/>
      <c r="AV51" s="645">
        <f t="shared" ref="AV51:BS51" si="104">AV50/N48</f>
        <v>0.78101743837340087</v>
      </c>
      <c r="AW51" s="645">
        <f t="shared" si="104"/>
        <v>0.77223591045681561</v>
      </c>
      <c r="AX51" s="645">
        <f t="shared" si="104"/>
        <v>0.77697295907732133</v>
      </c>
      <c r="AY51" s="645">
        <f t="shared" si="104"/>
        <v>0.78302044684447591</v>
      </c>
      <c r="AZ51" s="645">
        <f t="shared" si="104"/>
        <v>0.78101743837340087</v>
      </c>
      <c r="BA51" s="645">
        <f t="shared" si="104"/>
        <v>0.77223591045681572</v>
      </c>
      <c r="BB51" s="645">
        <f t="shared" si="104"/>
        <v>0.77697295907732133</v>
      </c>
      <c r="BC51" s="645">
        <f t="shared" si="104"/>
        <v>0.78302044684447591</v>
      </c>
      <c r="BD51" s="645">
        <f t="shared" si="104"/>
        <v>0.78101743837340087</v>
      </c>
      <c r="BE51" s="645">
        <f t="shared" si="104"/>
        <v>0.77223591045681561</v>
      </c>
      <c r="BF51" s="645">
        <f t="shared" si="104"/>
        <v>0.77697295907732122</v>
      </c>
      <c r="BG51" s="645">
        <f t="shared" si="104"/>
        <v>0.78302044684447591</v>
      </c>
      <c r="BH51" s="645">
        <f t="shared" si="104"/>
        <v>0.91309714319430813</v>
      </c>
      <c r="BI51" s="645">
        <f t="shared" si="104"/>
        <v>0.8582593224906927</v>
      </c>
      <c r="BJ51" s="645">
        <f t="shared" si="104"/>
        <v>0.88954553328092623</v>
      </c>
      <c r="BK51" s="645">
        <f t="shared" si="104"/>
        <v>0.94954493874929702</v>
      </c>
      <c r="BL51" s="645">
        <f t="shared" si="104"/>
        <v>0.91309714319430824</v>
      </c>
      <c r="BM51" s="645">
        <f t="shared" si="104"/>
        <v>0.8582593224906927</v>
      </c>
      <c r="BN51" s="645">
        <f t="shared" si="104"/>
        <v>0.88954553328092623</v>
      </c>
      <c r="BO51" s="645">
        <f t="shared" si="104"/>
        <v>0.94954493874929691</v>
      </c>
      <c r="BP51" s="645">
        <f t="shared" si="104"/>
        <v>0.91309714319430813</v>
      </c>
      <c r="BQ51" s="645">
        <f t="shared" si="104"/>
        <v>0.85825932249069292</v>
      </c>
      <c r="BR51" s="645">
        <f t="shared" si="104"/>
        <v>0.88954553328092634</v>
      </c>
      <c r="BS51" s="645">
        <f t="shared" si="104"/>
        <v>0.94954493874929691</v>
      </c>
      <c r="BT51" s="573"/>
    </row>
    <row r="52" spans="4:72" ht="15" thickTop="1">
      <c r="D52" s="572"/>
      <c r="E52" s="14"/>
      <c r="F52" s="14"/>
      <c r="G52" s="14"/>
      <c r="H52" s="14"/>
      <c r="I52" s="14"/>
      <c r="J52" s="14"/>
      <c r="K52" s="14"/>
      <c r="L52" s="14"/>
      <c r="M52" s="14"/>
      <c r="N52" s="628"/>
      <c r="O52" s="628"/>
      <c r="P52" s="628"/>
      <c r="Q52" s="628"/>
      <c r="R52" s="628"/>
      <c r="S52" s="628"/>
      <c r="T52" s="628"/>
      <c r="U52" s="628"/>
      <c r="V52" s="628"/>
      <c r="W52" s="628"/>
      <c r="X52" s="628"/>
      <c r="Y52" s="628"/>
      <c r="Z52" s="628"/>
      <c r="AA52" s="628"/>
      <c r="AB52" s="628"/>
      <c r="AC52" s="628"/>
      <c r="AD52" s="628"/>
      <c r="AE52" s="628"/>
      <c r="AF52" s="628"/>
      <c r="AG52" s="628"/>
      <c r="AH52" s="628"/>
      <c r="AI52" s="628"/>
      <c r="AJ52" s="628"/>
      <c r="AK52" s="628"/>
      <c r="AL52" s="573"/>
      <c r="AN52" s="572"/>
      <c r="AO52" s="14"/>
      <c r="AP52" s="14"/>
      <c r="AQ52" s="14"/>
      <c r="AR52" s="14"/>
      <c r="AS52" s="14"/>
      <c r="AT52" s="14"/>
      <c r="AU52" s="14"/>
      <c r="AV52" s="652"/>
      <c r="AW52" s="629"/>
      <c r="AX52" s="629"/>
      <c r="AY52" s="629"/>
      <c r="AZ52" s="629"/>
      <c r="BA52" s="629"/>
      <c r="BB52" s="629"/>
      <c r="BC52" s="629"/>
      <c r="BD52" s="629"/>
      <c r="BE52" s="629"/>
      <c r="BF52" s="629"/>
      <c r="BG52" s="629"/>
      <c r="BH52" s="629"/>
      <c r="BI52" s="629"/>
      <c r="BJ52" s="629"/>
      <c r="BK52" s="629"/>
      <c r="BL52" s="629"/>
      <c r="BM52" s="629"/>
      <c r="BN52" s="629"/>
      <c r="BO52" s="629"/>
      <c r="BP52" s="629"/>
      <c r="BQ52" s="629"/>
      <c r="BR52" s="629"/>
      <c r="BS52" s="629"/>
      <c r="BT52" s="573"/>
    </row>
    <row r="53" spans="4:72">
      <c r="D53" s="572"/>
      <c r="E53" s="14"/>
      <c r="F53" s="14"/>
      <c r="G53" s="14"/>
      <c r="H53" s="14"/>
      <c r="I53" s="14"/>
      <c r="J53" s="14"/>
      <c r="K53" s="14"/>
      <c r="L53" s="14"/>
      <c r="M53" s="14"/>
      <c r="N53" s="681">
        <f>G1</f>
        <v>7</v>
      </c>
      <c r="O53" s="574">
        <f>N53</f>
        <v>7</v>
      </c>
      <c r="P53" s="574">
        <f t="shared" ref="P53" si="105">O53</f>
        <v>7</v>
      </c>
      <c r="Q53" s="574">
        <f t="shared" ref="Q53" si="106">P53</f>
        <v>7</v>
      </c>
      <c r="R53" s="574">
        <f>N53+3</f>
        <v>10</v>
      </c>
      <c r="S53" s="574">
        <f t="shared" ref="S53" si="107">O53+3</f>
        <v>10</v>
      </c>
      <c r="T53" s="574">
        <f t="shared" ref="T53" si="108">P53+3</f>
        <v>10</v>
      </c>
      <c r="U53" s="574">
        <f t="shared" ref="U53" si="109">Q53+3</f>
        <v>10</v>
      </c>
      <c r="V53" s="574">
        <f t="shared" ref="V53" si="110">R53+3</f>
        <v>13</v>
      </c>
      <c r="W53" s="574">
        <f t="shared" ref="W53" si="111">S53+3</f>
        <v>13</v>
      </c>
      <c r="X53" s="574">
        <f t="shared" ref="X53" si="112">T53+3</f>
        <v>13</v>
      </c>
      <c r="Y53" s="574">
        <f t="shared" ref="Y53" si="113">U53+3</f>
        <v>13</v>
      </c>
      <c r="Z53" s="574">
        <f>N53</f>
        <v>7</v>
      </c>
      <c r="AA53" s="574">
        <f t="shared" ref="AA53" si="114">O53</f>
        <v>7</v>
      </c>
      <c r="AB53" s="574">
        <f t="shared" ref="AB53" si="115">P53</f>
        <v>7</v>
      </c>
      <c r="AC53" s="574">
        <f t="shared" ref="AC53" si="116">Q53</f>
        <v>7</v>
      </c>
      <c r="AD53" s="574">
        <f t="shared" ref="AD53" si="117">R53</f>
        <v>10</v>
      </c>
      <c r="AE53" s="574">
        <f t="shared" ref="AE53" si="118">S53</f>
        <v>10</v>
      </c>
      <c r="AF53" s="574">
        <f t="shared" ref="AF53" si="119">T53</f>
        <v>10</v>
      </c>
      <c r="AG53" s="574">
        <f t="shared" ref="AG53" si="120">U53</f>
        <v>10</v>
      </c>
      <c r="AH53" s="574">
        <f t="shared" ref="AH53:AK53" si="121">V53</f>
        <v>13</v>
      </c>
      <c r="AI53" s="574">
        <f t="shared" si="121"/>
        <v>13</v>
      </c>
      <c r="AJ53" s="574">
        <f t="shared" si="121"/>
        <v>13</v>
      </c>
      <c r="AK53" s="574">
        <f t="shared" si="121"/>
        <v>13</v>
      </c>
      <c r="AL53" s="573"/>
      <c r="AN53" s="572"/>
      <c r="AO53" s="14"/>
      <c r="AP53" s="14"/>
      <c r="AQ53" s="14"/>
      <c r="AR53" s="14"/>
      <c r="AS53" s="14"/>
      <c r="AT53" s="14"/>
      <c r="AU53" s="14"/>
      <c r="AV53" s="652"/>
      <c r="AW53" s="629"/>
      <c r="AX53" s="629"/>
      <c r="AY53" s="629"/>
      <c r="AZ53" s="629"/>
      <c r="BA53" s="629"/>
      <c r="BB53" s="629"/>
      <c r="BC53" s="629"/>
      <c r="BD53" s="629"/>
      <c r="BE53" s="629"/>
      <c r="BF53" s="629"/>
      <c r="BG53" s="629"/>
      <c r="BH53" s="629"/>
      <c r="BI53" s="629"/>
      <c r="BJ53" s="629"/>
      <c r="BK53" s="629"/>
      <c r="BL53" s="629"/>
      <c r="BM53" s="629"/>
      <c r="BN53" s="629"/>
      <c r="BO53" s="629"/>
      <c r="BP53" s="629"/>
      <c r="BQ53" s="629"/>
      <c r="BR53" s="629"/>
      <c r="BS53" s="629"/>
      <c r="BT53" s="573"/>
    </row>
    <row r="54" spans="4:72" ht="15" thickBot="1">
      <c r="D54" s="577"/>
      <c r="E54" s="578"/>
      <c r="F54" s="578"/>
      <c r="G54" s="578"/>
      <c r="H54" s="578"/>
      <c r="I54" s="578"/>
      <c r="J54" s="578"/>
      <c r="K54" s="578"/>
      <c r="L54" s="578"/>
      <c r="M54" s="578"/>
      <c r="N54" s="578"/>
      <c r="O54" s="578"/>
      <c r="P54" s="578"/>
      <c r="Q54" s="578"/>
      <c r="R54" s="578"/>
      <c r="S54" s="578"/>
      <c r="T54" s="578"/>
      <c r="U54" s="578"/>
      <c r="V54" s="578"/>
      <c r="W54" s="578"/>
      <c r="X54" s="578"/>
      <c r="Y54" s="578"/>
      <c r="Z54" s="578"/>
      <c r="AA54" s="578"/>
      <c r="AB54" s="578"/>
      <c r="AC54" s="578"/>
      <c r="AD54" s="578"/>
      <c r="AE54" s="578"/>
      <c r="AF54" s="578"/>
      <c r="AG54" s="578"/>
      <c r="AH54" s="578"/>
      <c r="AI54" s="578"/>
      <c r="AJ54" s="578"/>
      <c r="AK54" s="578"/>
      <c r="AL54" s="579"/>
      <c r="AN54" s="577"/>
      <c r="AO54" s="578"/>
      <c r="AP54" s="578"/>
      <c r="AQ54" s="578"/>
      <c r="AR54" s="578"/>
      <c r="AS54" s="578"/>
      <c r="AT54" s="578"/>
      <c r="AU54" s="578"/>
      <c r="AV54" s="578"/>
      <c r="AW54" s="578"/>
      <c r="AX54" s="578"/>
      <c r="AY54" s="578"/>
      <c r="AZ54" s="578"/>
      <c r="BA54" s="578"/>
      <c r="BB54" s="578"/>
      <c r="BC54" s="578"/>
      <c r="BD54" s="578"/>
      <c r="BE54" s="578"/>
      <c r="BF54" s="578"/>
      <c r="BG54" s="578"/>
      <c r="BH54" s="578"/>
      <c r="BI54" s="578"/>
      <c r="BJ54" s="578"/>
      <c r="BK54" s="578"/>
      <c r="BL54" s="578"/>
      <c r="BM54" s="578"/>
      <c r="BN54" s="578"/>
      <c r="BO54" s="578"/>
      <c r="BP54" s="578"/>
      <c r="BQ54" s="578"/>
      <c r="BR54" s="578"/>
      <c r="BS54" s="578"/>
      <c r="BT54" s="579"/>
    </row>
    <row r="55" spans="4:72" ht="15" thickBot="1"/>
    <row r="56" spans="4:72">
      <c r="D56" s="569"/>
      <c r="E56" s="570"/>
      <c r="F56" s="570"/>
      <c r="G56" s="570"/>
      <c r="H56" s="570"/>
      <c r="I56" s="570"/>
      <c r="J56" s="570"/>
      <c r="K56" s="570"/>
      <c r="L56" s="570"/>
      <c r="M56" s="570"/>
      <c r="N56" s="570"/>
      <c r="O56" s="570"/>
      <c r="P56" s="570"/>
      <c r="Q56" s="570"/>
      <c r="R56" s="570"/>
      <c r="S56" s="570"/>
      <c r="T56" s="570"/>
      <c r="U56" s="570"/>
      <c r="V56" s="570"/>
      <c r="W56" s="570"/>
      <c r="X56" s="570"/>
      <c r="Y56" s="570"/>
      <c r="Z56" s="570"/>
      <c r="AA56" s="570"/>
      <c r="AB56" s="570"/>
      <c r="AC56" s="570"/>
      <c r="AD56" s="570"/>
      <c r="AE56" s="570"/>
      <c r="AF56" s="570"/>
      <c r="AG56" s="570"/>
      <c r="AH56" s="570"/>
      <c r="AI56" s="570"/>
      <c r="AJ56" s="570"/>
      <c r="AK56" s="570"/>
      <c r="AL56" s="571"/>
    </row>
    <row r="57" spans="4:72" ht="18">
      <c r="D57" s="572"/>
      <c r="E57" s="632" t="s">
        <v>431</v>
      </c>
      <c r="F57" s="632"/>
      <c r="G57" s="632"/>
      <c r="H57" s="632"/>
      <c r="I57" s="632"/>
      <c r="J57" s="632"/>
      <c r="K57" s="632"/>
      <c r="L57" s="632"/>
      <c r="M57" s="632"/>
      <c r="N57" s="632"/>
      <c r="O57" s="632"/>
      <c r="P57" s="632"/>
      <c r="Q57" s="632"/>
      <c r="R57" s="632"/>
      <c r="S57" s="632"/>
      <c r="T57" s="632"/>
      <c r="U57" s="632"/>
      <c r="V57" s="632"/>
      <c r="W57" s="632"/>
      <c r="X57" s="632"/>
      <c r="Y57" s="632"/>
      <c r="Z57" s="632"/>
      <c r="AA57" s="632"/>
      <c r="AB57" s="632"/>
      <c r="AC57" s="632"/>
      <c r="AD57" s="632"/>
      <c r="AE57" s="632"/>
      <c r="AF57" s="632"/>
      <c r="AG57" s="632"/>
      <c r="AH57" s="632"/>
      <c r="AI57" s="632"/>
      <c r="AJ57" s="632"/>
      <c r="AK57" s="632"/>
      <c r="AL57" s="573"/>
    </row>
    <row r="58" spans="4:72" ht="15" thickBot="1">
      <c r="D58" s="572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573"/>
    </row>
    <row r="59" spans="4:72" ht="15" thickBot="1">
      <c r="D59" s="572"/>
      <c r="E59" s="14"/>
      <c r="F59" s="14"/>
      <c r="G59" s="14"/>
      <c r="H59" s="14"/>
      <c r="J59" s="11"/>
      <c r="K59" s="11"/>
      <c r="L59" s="12"/>
      <c r="M59" s="581" t="s">
        <v>428</v>
      </c>
      <c r="N59" s="714">
        <f>'SCE Savings'!G11</f>
        <v>0.16206730264728642</v>
      </c>
      <c r="O59" s="715">
        <f>'PG&amp;E Savings'!G11</f>
        <v>0.30099224828647397</v>
      </c>
      <c r="P59" s="715">
        <f>'SDG&amp;E Savings'!G11</f>
        <v>0.17680542146803155</v>
      </c>
      <c r="Q59" s="716">
        <f>'SCG Savings'!G11</f>
        <v>0.13089259970588954</v>
      </c>
      <c r="R59" s="633"/>
      <c r="S59" s="633"/>
      <c r="T59" s="633"/>
      <c r="U59" s="633"/>
      <c r="V59" s="633"/>
      <c r="W59" s="633"/>
      <c r="X59" s="633"/>
      <c r="Y59" s="63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573"/>
    </row>
    <row r="60" spans="4:72">
      <c r="D60" s="572"/>
      <c r="E60" s="14"/>
      <c r="F60" s="14"/>
      <c r="G60" s="14"/>
      <c r="H60" s="14"/>
      <c r="I60" s="14"/>
      <c r="J60" s="14"/>
      <c r="K60" s="14"/>
      <c r="L60" s="14"/>
      <c r="M60" s="14"/>
      <c r="N60" s="574" t="s">
        <v>206</v>
      </c>
      <c r="O60" s="574" t="s">
        <v>206</v>
      </c>
      <c r="P60" s="574" t="s">
        <v>206</v>
      </c>
      <c r="Q60" s="574" t="s">
        <v>206</v>
      </c>
      <c r="R60" s="574" t="s">
        <v>206</v>
      </c>
      <c r="S60" s="574" t="s">
        <v>206</v>
      </c>
      <c r="T60" s="574" t="s">
        <v>206</v>
      </c>
      <c r="U60" s="574" t="s">
        <v>206</v>
      </c>
      <c r="V60" s="574" t="s">
        <v>206</v>
      </c>
      <c r="W60" s="574" t="s">
        <v>206</v>
      </c>
      <c r="X60" s="574" t="s">
        <v>206</v>
      </c>
      <c r="Y60" s="574" t="s">
        <v>206</v>
      </c>
      <c r="Z60" s="574" t="s">
        <v>206</v>
      </c>
      <c r="AA60" s="574" t="s">
        <v>206</v>
      </c>
      <c r="AB60" s="574" t="s">
        <v>206</v>
      </c>
      <c r="AC60" s="574" t="s">
        <v>206</v>
      </c>
      <c r="AD60" s="574" t="s">
        <v>206</v>
      </c>
      <c r="AE60" s="574" t="s">
        <v>206</v>
      </c>
      <c r="AF60" s="574" t="s">
        <v>206</v>
      </c>
      <c r="AG60" s="574" t="s">
        <v>206</v>
      </c>
      <c r="AH60" s="574" t="s">
        <v>206</v>
      </c>
      <c r="AI60" s="574" t="s">
        <v>206</v>
      </c>
      <c r="AJ60" s="574" t="s">
        <v>206</v>
      </c>
      <c r="AK60" s="574" t="s">
        <v>206</v>
      </c>
      <c r="AL60" s="573"/>
    </row>
    <row r="61" spans="4:72">
      <c r="D61" s="572"/>
      <c r="E61" s="14"/>
      <c r="F61" s="14"/>
      <c r="G61" s="14"/>
      <c r="H61" s="14"/>
      <c r="I61" s="14"/>
      <c r="J61" s="14"/>
      <c r="K61" s="575"/>
      <c r="L61" s="575"/>
      <c r="M61" s="575"/>
      <c r="N61" s="574" t="s">
        <v>345</v>
      </c>
      <c r="O61" s="574" t="s">
        <v>345</v>
      </c>
      <c r="P61" s="574" t="s">
        <v>345</v>
      </c>
      <c r="Q61" s="574" t="s">
        <v>345</v>
      </c>
      <c r="R61" s="574" t="s">
        <v>345</v>
      </c>
      <c r="S61" s="574" t="s">
        <v>345</v>
      </c>
      <c r="T61" s="574" t="s">
        <v>345</v>
      </c>
      <c r="U61" s="574" t="s">
        <v>345</v>
      </c>
      <c r="V61" s="574" t="s">
        <v>345</v>
      </c>
      <c r="W61" s="574" t="s">
        <v>345</v>
      </c>
      <c r="X61" s="574" t="s">
        <v>345</v>
      </c>
      <c r="Y61" s="574" t="s">
        <v>345</v>
      </c>
      <c r="Z61" s="574" t="s">
        <v>399</v>
      </c>
      <c r="AA61" s="574" t="s">
        <v>399</v>
      </c>
      <c r="AB61" s="574" t="s">
        <v>399</v>
      </c>
      <c r="AC61" s="574" t="s">
        <v>399</v>
      </c>
      <c r="AD61" s="574" t="s">
        <v>399</v>
      </c>
      <c r="AE61" s="574" t="s">
        <v>399</v>
      </c>
      <c r="AF61" s="574" t="s">
        <v>399</v>
      </c>
      <c r="AG61" s="574" t="s">
        <v>399</v>
      </c>
      <c r="AH61" s="574" t="s">
        <v>399</v>
      </c>
      <c r="AI61" s="574" t="s">
        <v>399</v>
      </c>
      <c r="AJ61" s="574" t="s">
        <v>399</v>
      </c>
      <c r="AK61" s="574" t="s">
        <v>399</v>
      </c>
      <c r="AL61" s="573"/>
    </row>
    <row r="62" spans="4:72">
      <c r="D62" s="572"/>
      <c r="E62" s="14"/>
      <c r="F62" s="14"/>
      <c r="G62" s="14"/>
      <c r="H62" s="14"/>
      <c r="I62" s="14"/>
      <c r="J62" s="14"/>
      <c r="K62" s="657"/>
      <c r="L62" s="638" t="s">
        <v>458</v>
      </c>
      <c r="M62" s="658"/>
      <c r="N62" s="856" t="s">
        <v>454</v>
      </c>
      <c r="O62" s="857"/>
      <c r="P62" s="857"/>
      <c r="Q62" s="858"/>
      <c r="R62" s="856" t="s">
        <v>455</v>
      </c>
      <c r="S62" s="857"/>
      <c r="T62" s="857"/>
      <c r="U62" s="858"/>
      <c r="V62" s="856" t="s">
        <v>456</v>
      </c>
      <c r="W62" s="857"/>
      <c r="X62" s="857"/>
      <c r="Y62" s="858"/>
      <c r="Z62" s="856" t="s">
        <v>454</v>
      </c>
      <c r="AA62" s="857"/>
      <c r="AB62" s="857"/>
      <c r="AC62" s="858"/>
      <c r="AD62" s="856" t="s">
        <v>455</v>
      </c>
      <c r="AE62" s="857"/>
      <c r="AF62" s="857"/>
      <c r="AG62" s="858"/>
      <c r="AH62" s="856" t="s">
        <v>456</v>
      </c>
      <c r="AI62" s="857"/>
      <c r="AJ62" s="857"/>
      <c r="AK62" s="858"/>
      <c r="AL62" s="573"/>
    </row>
    <row r="63" spans="4:72" ht="14.4" customHeight="1">
      <c r="D63" s="572"/>
      <c r="E63" s="867" t="s">
        <v>332</v>
      </c>
      <c r="F63" s="868"/>
      <c r="G63" s="868"/>
      <c r="H63" s="868"/>
      <c r="I63" s="868"/>
      <c r="J63" s="869"/>
      <c r="K63" s="873" t="s">
        <v>469</v>
      </c>
      <c r="L63" s="865" t="s">
        <v>459</v>
      </c>
      <c r="M63" s="866"/>
      <c r="N63" s="853" t="s">
        <v>423</v>
      </c>
      <c r="O63" s="854"/>
      <c r="P63" s="854"/>
      <c r="Q63" s="855"/>
      <c r="R63" s="853" t="s">
        <v>423</v>
      </c>
      <c r="S63" s="854"/>
      <c r="T63" s="854"/>
      <c r="U63" s="855"/>
      <c r="V63" s="853" t="s">
        <v>423</v>
      </c>
      <c r="W63" s="854"/>
      <c r="X63" s="854"/>
      <c r="Y63" s="855"/>
      <c r="Z63" s="853" t="s">
        <v>424</v>
      </c>
      <c r="AA63" s="854"/>
      <c r="AB63" s="854"/>
      <c r="AC63" s="855"/>
      <c r="AD63" s="853" t="s">
        <v>424</v>
      </c>
      <c r="AE63" s="854"/>
      <c r="AF63" s="854"/>
      <c r="AG63" s="855"/>
      <c r="AH63" s="853" t="s">
        <v>424</v>
      </c>
      <c r="AI63" s="854"/>
      <c r="AJ63" s="854"/>
      <c r="AK63" s="855"/>
      <c r="AL63" s="573"/>
    </row>
    <row r="64" spans="4:72">
      <c r="D64" s="572"/>
      <c r="E64" s="870"/>
      <c r="F64" s="871"/>
      <c r="G64" s="871"/>
      <c r="H64" s="871"/>
      <c r="I64" s="871"/>
      <c r="J64" s="872"/>
      <c r="K64" s="874"/>
      <c r="L64" s="637" t="s">
        <v>460</v>
      </c>
      <c r="M64" s="639" t="s">
        <v>461</v>
      </c>
      <c r="N64" s="517" t="s">
        <v>16</v>
      </c>
      <c r="O64" s="555" t="s">
        <v>237</v>
      </c>
      <c r="P64" s="555" t="s">
        <v>395</v>
      </c>
      <c r="Q64" s="507" t="s">
        <v>301</v>
      </c>
      <c r="R64" s="517" t="s">
        <v>16</v>
      </c>
      <c r="S64" s="555" t="s">
        <v>237</v>
      </c>
      <c r="T64" s="555" t="s">
        <v>395</v>
      </c>
      <c r="U64" s="507" t="s">
        <v>301</v>
      </c>
      <c r="V64" s="517" t="s">
        <v>16</v>
      </c>
      <c r="W64" s="555" t="s">
        <v>237</v>
      </c>
      <c r="X64" s="555" t="s">
        <v>395</v>
      </c>
      <c r="Y64" s="507" t="s">
        <v>301</v>
      </c>
      <c r="Z64" s="517" t="s">
        <v>16</v>
      </c>
      <c r="AA64" s="555" t="s">
        <v>237</v>
      </c>
      <c r="AB64" s="555" t="s">
        <v>395</v>
      </c>
      <c r="AC64" s="507" t="s">
        <v>301</v>
      </c>
      <c r="AD64" s="517" t="s">
        <v>16</v>
      </c>
      <c r="AE64" s="555" t="s">
        <v>237</v>
      </c>
      <c r="AF64" s="555" t="s">
        <v>395</v>
      </c>
      <c r="AG64" s="507" t="s">
        <v>301</v>
      </c>
      <c r="AH64" s="517" t="s">
        <v>16</v>
      </c>
      <c r="AI64" s="555" t="s">
        <v>237</v>
      </c>
      <c r="AJ64" s="555" t="s">
        <v>395</v>
      </c>
      <c r="AK64" s="507" t="s">
        <v>301</v>
      </c>
      <c r="AL64" s="573"/>
    </row>
    <row r="65" spans="4:73">
      <c r="D65" s="572"/>
      <c r="E65" s="477" t="s">
        <v>333</v>
      </c>
      <c r="F65" s="478"/>
      <c r="G65" s="478"/>
      <c r="H65" s="478"/>
      <c r="I65" s="478"/>
      <c r="J65" s="479"/>
      <c r="K65" s="531">
        <f>K31</f>
        <v>0</v>
      </c>
      <c r="L65" s="531">
        <f t="shared" ref="L65:M65" si="122">L31</f>
        <v>0</v>
      </c>
      <c r="M65" s="531">
        <f t="shared" si="122"/>
        <v>0</v>
      </c>
      <c r="N65" s="597">
        <f t="shared" ref="N65:AK65" si="123">VLOOKUP(N$30&amp;N$26&amp;N$27,t.ResUESSummary,N$87,FALSE)</f>
        <v>2.1586198377804927E-2</v>
      </c>
      <c r="O65" s="598">
        <f t="shared" si="123"/>
        <v>4.7229281001334007E-2</v>
      </c>
      <c r="P65" s="598">
        <f t="shared" si="123"/>
        <v>2.5574188238547044E-2</v>
      </c>
      <c r="Q65" s="599">
        <f t="shared" si="123"/>
        <v>1.6716123318772542E-2</v>
      </c>
      <c r="R65" s="597">
        <f t="shared" si="123"/>
        <v>1.9683685978405172E-2</v>
      </c>
      <c r="S65" s="598">
        <f t="shared" si="123"/>
        <v>4.3066700302911348E-2</v>
      </c>
      <c r="T65" s="598">
        <f t="shared" si="123"/>
        <v>2.3320191987014086E-2</v>
      </c>
      <c r="U65" s="599">
        <f t="shared" si="123"/>
        <v>1.524283787372818E-2</v>
      </c>
      <c r="V65" s="597">
        <f t="shared" si="123"/>
        <v>1.7781173579005417E-2</v>
      </c>
      <c r="W65" s="598">
        <f t="shared" si="123"/>
        <v>3.8904119604488696E-2</v>
      </c>
      <c r="X65" s="598">
        <f t="shared" si="123"/>
        <v>2.1066195735481123E-2</v>
      </c>
      <c r="Y65" s="599">
        <f t="shared" si="123"/>
        <v>1.3769552428683822E-2</v>
      </c>
      <c r="Z65" s="597">
        <f t="shared" si="123"/>
        <v>3.7311679803414301E-3</v>
      </c>
      <c r="AA65" s="598">
        <f t="shared" si="123"/>
        <v>1.2709976303436172E-2</v>
      </c>
      <c r="AB65" s="598">
        <f t="shared" si="123"/>
        <v>5.2045200181539165E-3</v>
      </c>
      <c r="AC65" s="599">
        <f t="shared" si="123"/>
        <v>2.002891806368473E-3</v>
      </c>
      <c r="AD65" s="597">
        <f t="shared" si="123"/>
        <v>3.4023192769893013E-3</v>
      </c>
      <c r="AE65" s="598">
        <f t="shared" si="123"/>
        <v>1.1589775002116373E-2</v>
      </c>
      <c r="AF65" s="598">
        <f t="shared" si="123"/>
        <v>4.7458165589267902E-3</v>
      </c>
      <c r="AG65" s="599">
        <f t="shared" si="123"/>
        <v>1.8263657488580319E-3</v>
      </c>
      <c r="AH65" s="597">
        <f t="shared" si="123"/>
        <v>3.0734705736371773E-3</v>
      </c>
      <c r="AI65" s="598">
        <f t="shared" si="123"/>
        <v>1.0469573700796575E-2</v>
      </c>
      <c r="AJ65" s="598">
        <f t="shared" si="123"/>
        <v>4.2871130996996673E-3</v>
      </c>
      <c r="AK65" s="599">
        <f t="shared" si="123"/>
        <v>1.6498396913475905E-3</v>
      </c>
      <c r="AL65" s="573"/>
    </row>
    <row r="66" spans="4:73">
      <c r="D66" s="572"/>
      <c r="E66" s="477" t="s">
        <v>334</v>
      </c>
      <c r="F66" s="478"/>
      <c r="G66" s="478"/>
      <c r="H66" s="478"/>
      <c r="I66" s="478"/>
      <c r="J66" s="479"/>
      <c r="K66" s="531">
        <f t="shared" ref="K66:M66" si="124">K32</f>
        <v>0</v>
      </c>
      <c r="L66" s="531">
        <f t="shared" si="124"/>
        <v>0</v>
      </c>
      <c r="M66" s="531">
        <f t="shared" si="124"/>
        <v>0</v>
      </c>
      <c r="N66" s="597">
        <v>0</v>
      </c>
      <c r="O66" s="598">
        <v>0</v>
      </c>
      <c r="P66" s="598">
        <v>0</v>
      </c>
      <c r="Q66" s="599">
        <v>0</v>
      </c>
      <c r="R66" s="597">
        <v>0</v>
      </c>
      <c r="S66" s="598">
        <v>0</v>
      </c>
      <c r="T66" s="598">
        <v>0</v>
      </c>
      <c r="U66" s="599">
        <v>0</v>
      </c>
      <c r="V66" s="597">
        <v>0</v>
      </c>
      <c r="W66" s="598">
        <v>0</v>
      </c>
      <c r="X66" s="598">
        <v>0</v>
      </c>
      <c r="Y66" s="599">
        <v>0</v>
      </c>
      <c r="Z66" s="597">
        <v>0</v>
      </c>
      <c r="AA66" s="598">
        <v>0</v>
      </c>
      <c r="AB66" s="598">
        <v>0</v>
      </c>
      <c r="AC66" s="599">
        <v>0</v>
      </c>
      <c r="AD66" s="597">
        <v>0</v>
      </c>
      <c r="AE66" s="598">
        <v>0</v>
      </c>
      <c r="AF66" s="598">
        <v>0</v>
      </c>
      <c r="AG66" s="599">
        <v>0</v>
      </c>
      <c r="AH66" s="597">
        <v>0</v>
      </c>
      <c r="AI66" s="598">
        <v>0</v>
      </c>
      <c r="AJ66" s="598">
        <v>0</v>
      </c>
      <c r="AK66" s="599">
        <v>0</v>
      </c>
      <c r="AL66" s="573"/>
    </row>
    <row r="67" spans="4:73">
      <c r="D67" s="572"/>
      <c r="E67" s="477" t="s">
        <v>335</v>
      </c>
      <c r="F67" s="478"/>
      <c r="G67" s="478"/>
      <c r="H67" s="478"/>
      <c r="I67" s="478"/>
      <c r="J67" s="479"/>
      <c r="K67" s="531">
        <f t="shared" ref="K67:M67" si="125">K33</f>
        <v>0</v>
      </c>
      <c r="L67" s="531">
        <f t="shared" si="125"/>
        <v>0.16666666666666666</v>
      </c>
      <c r="M67" s="531">
        <f t="shared" si="125"/>
        <v>0.2</v>
      </c>
      <c r="N67" s="597">
        <v>0</v>
      </c>
      <c r="O67" s="598">
        <v>0</v>
      </c>
      <c r="P67" s="598">
        <v>0</v>
      </c>
      <c r="Q67" s="599">
        <v>0</v>
      </c>
      <c r="R67" s="597">
        <v>0</v>
      </c>
      <c r="S67" s="598">
        <v>0</v>
      </c>
      <c r="T67" s="598">
        <v>0</v>
      </c>
      <c r="U67" s="599">
        <v>0</v>
      </c>
      <c r="V67" s="597">
        <v>0</v>
      </c>
      <c r="W67" s="598">
        <v>0</v>
      </c>
      <c r="X67" s="598">
        <v>0</v>
      </c>
      <c r="Y67" s="599">
        <v>0</v>
      </c>
      <c r="Z67" s="597">
        <v>0</v>
      </c>
      <c r="AA67" s="598">
        <v>0</v>
      </c>
      <c r="AB67" s="598">
        <v>0</v>
      </c>
      <c r="AC67" s="599">
        <v>0</v>
      </c>
      <c r="AD67" s="597">
        <v>0</v>
      </c>
      <c r="AE67" s="598">
        <v>0</v>
      </c>
      <c r="AF67" s="598">
        <v>0</v>
      </c>
      <c r="AG67" s="599">
        <v>0</v>
      </c>
      <c r="AH67" s="597">
        <v>0</v>
      </c>
      <c r="AI67" s="598">
        <v>0</v>
      </c>
      <c r="AJ67" s="598">
        <v>0</v>
      </c>
      <c r="AK67" s="599">
        <v>0</v>
      </c>
      <c r="AL67" s="573"/>
    </row>
    <row r="68" spans="4:73">
      <c r="D68" s="572"/>
      <c r="E68" s="477" t="s">
        <v>336</v>
      </c>
      <c r="F68" s="478"/>
      <c r="G68" s="478"/>
      <c r="H68" s="478"/>
      <c r="I68" s="478"/>
      <c r="J68" s="479"/>
      <c r="K68" s="531">
        <f t="shared" ref="K68:M68" si="126">K34</f>
        <v>0</v>
      </c>
      <c r="L68" s="531">
        <f t="shared" si="126"/>
        <v>0.16666666666666666</v>
      </c>
      <c r="M68" s="531">
        <f t="shared" si="126"/>
        <v>0.1</v>
      </c>
      <c r="N68" s="597">
        <f t="shared" ref="N68:AK68" si="127">VLOOKUP(N$30&amp;N$26&amp;N$27,t.ResUESSummary,N$87,FALSE)</f>
        <v>2.1586198377804927E-2</v>
      </c>
      <c r="O68" s="598">
        <f t="shared" si="127"/>
        <v>4.7229281001334007E-2</v>
      </c>
      <c r="P68" s="598">
        <f t="shared" si="127"/>
        <v>2.5574188238547044E-2</v>
      </c>
      <c r="Q68" s="599">
        <f t="shared" si="127"/>
        <v>1.6716123318772542E-2</v>
      </c>
      <c r="R68" s="597">
        <f t="shared" si="127"/>
        <v>1.9683685978405172E-2</v>
      </c>
      <c r="S68" s="598">
        <f t="shared" si="127"/>
        <v>4.3066700302911348E-2</v>
      </c>
      <c r="T68" s="598">
        <f t="shared" si="127"/>
        <v>2.3320191987014086E-2</v>
      </c>
      <c r="U68" s="599">
        <f t="shared" si="127"/>
        <v>1.524283787372818E-2</v>
      </c>
      <c r="V68" s="597">
        <f t="shared" si="127"/>
        <v>1.7781173579005417E-2</v>
      </c>
      <c r="W68" s="598">
        <f t="shared" si="127"/>
        <v>3.8904119604488696E-2</v>
      </c>
      <c r="X68" s="598">
        <f t="shared" si="127"/>
        <v>2.1066195735481123E-2</v>
      </c>
      <c r="Y68" s="599">
        <f t="shared" si="127"/>
        <v>1.3769552428683822E-2</v>
      </c>
      <c r="Z68" s="597">
        <f t="shared" si="127"/>
        <v>3.7311679803414301E-3</v>
      </c>
      <c r="AA68" s="598">
        <f t="shared" si="127"/>
        <v>1.2709976303436172E-2</v>
      </c>
      <c r="AB68" s="598">
        <f t="shared" si="127"/>
        <v>5.2045200181539165E-3</v>
      </c>
      <c r="AC68" s="599">
        <f t="shared" si="127"/>
        <v>2.002891806368473E-3</v>
      </c>
      <c r="AD68" s="597">
        <f t="shared" si="127"/>
        <v>3.4023192769893013E-3</v>
      </c>
      <c r="AE68" s="598">
        <f t="shared" si="127"/>
        <v>1.1589775002116373E-2</v>
      </c>
      <c r="AF68" s="598">
        <f t="shared" si="127"/>
        <v>4.7458165589267902E-3</v>
      </c>
      <c r="AG68" s="599">
        <f t="shared" si="127"/>
        <v>1.8263657488580319E-3</v>
      </c>
      <c r="AH68" s="597">
        <f t="shared" si="127"/>
        <v>3.0734705736371773E-3</v>
      </c>
      <c r="AI68" s="598">
        <f t="shared" si="127"/>
        <v>1.0469573700796575E-2</v>
      </c>
      <c r="AJ68" s="598">
        <f t="shared" si="127"/>
        <v>4.2871130996996673E-3</v>
      </c>
      <c r="AK68" s="599">
        <f t="shared" si="127"/>
        <v>1.6498396913475905E-3</v>
      </c>
      <c r="AL68" s="573"/>
    </row>
    <row r="69" spans="4:73" ht="15" customHeight="1">
      <c r="D69" s="572"/>
      <c r="E69" s="875" t="s">
        <v>343</v>
      </c>
      <c r="F69" s="480" t="s">
        <v>337</v>
      </c>
      <c r="G69" s="480"/>
      <c r="H69" s="480"/>
      <c r="I69" s="480"/>
      <c r="J69" s="481"/>
      <c r="K69" s="533">
        <f t="shared" ref="K69:M69" si="128">K35</f>
        <v>0.25</v>
      </c>
      <c r="L69" s="533">
        <f t="shared" si="128"/>
        <v>0.16666666666666666</v>
      </c>
      <c r="M69" s="533">
        <f t="shared" si="128"/>
        <v>0.17</v>
      </c>
      <c r="N69" s="600">
        <v>0</v>
      </c>
      <c r="O69" s="601">
        <v>0</v>
      </c>
      <c r="P69" s="601">
        <v>0</v>
      </c>
      <c r="Q69" s="602">
        <v>0</v>
      </c>
      <c r="R69" s="600">
        <v>0</v>
      </c>
      <c r="S69" s="601">
        <v>0</v>
      </c>
      <c r="T69" s="601">
        <v>0</v>
      </c>
      <c r="U69" s="602">
        <v>0</v>
      </c>
      <c r="V69" s="600">
        <v>0</v>
      </c>
      <c r="W69" s="601">
        <v>0</v>
      </c>
      <c r="X69" s="601">
        <v>0</v>
      </c>
      <c r="Y69" s="602">
        <v>0</v>
      </c>
      <c r="Z69" s="600">
        <v>0</v>
      </c>
      <c r="AA69" s="601">
        <v>0</v>
      </c>
      <c r="AB69" s="601">
        <v>0</v>
      </c>
      <c r="AC69" s="602">
        <v>0</v>
      </c>
      <c r="AD69" s="600">
        <v>0</v>
      </c>
      <c r="AE69" s="601">
        <v>0</v>
      </c>
      <c r="AF69" s="601">
        <v>0</v>
      </c>
      <c r="AG69" s="602">
        <v>0</v>
      </c>
      <c r="AH69" s="600">
        <v>0</v>
      </c>
      <c r="AI69" s="601">
        <v>0</v>
      </c>
      <c r="AJ69" s="601">
        <v>0</v>
      </c>
      <c r="AK69" s="602">
        <v>0</v>
      </c>
      <c r="AL69" s="573"/>
    </row>
    <row r="70" spans="4:73">
      <c r="D70" s="572"/>
      <c r="E70" s="876"/>
      <c r="F70" s="483" t="s">
        <v>338</v>
      </c>
      <c r="G70" s="483"/>
      <c r="H70" s="483"/>
      <c r="I70" s="483"/>
      <c r="J70" s="484"/>
      <c r="K70" s="534">
        <f t="shared" ref="K70:M70" si="129">K36</f>
        <v>0.25</v>
      </c>
      <c r="L70" s="534">
        <f t="shared" si="129"/>
        <v>0.16666666666666666</v>
      </c>
      <c r="M70" s="534">
        <f t="shared" si="129"/>
        <v>0.25</v>
      </c>
      <c r="N70" s="603">
        <f t="shared" ref="N70:AK70" si="130">VLOOKUP(N$30&amp;N$26&amp;N$27,t.ResUESSummary,N$87,FALSE)</f>
        <v>2.1586198377804927E-2</v>
      </c>
      <c r="O70" s="604">
        <f t="shared" si="130"/>
        <v>4.7229281001334007E-2</v>
      </c>
      <c r="P70" s="604">
        <f t="shared" si="130"/>
        <v>2.5574188238547044E-2</v>
      </c>
      <c r="Q70" s="605">
        <f t="shared" si="130"/>
        <v>1.6716123318772542E-2</v>
      </c>
      <c r="R70" s="603">
        <f t="shared" si="130"/>
        <v>1.9683685978405172E-2</v>
      </c>
      <c r="S70" s="604">
        <f t="shared" si="130"/>
        <v>4.3066700302911348E-2</v>
      </c>
      <c r="T70" s="604">
        <f t="shared" si="130"/>
        <v>2.3320191987014086E-2</v>
      </c>
      <c r="U70" s="605">
        <f t="shared" si="130"/>
        <v>1.524283787372818E-2</v>
      </c>
      <c r="V70" s="603">
        <f t="shared" si="130"/>
        <v>1.7781173579005417E-2</v>
      </c>
      <c r="W70" s="604">
        <f t="shared" si="130"/>
        <v>3.8904119604488696E-2</v>
      </c>
      <c r="X70" s="604">
        <f t="shared" si="130"/>
        <v>2.1066195735481123E-2</v>
      </c>
      <c r="Y70" s="605">
        <f t="shared" si="130"/>
        <v>1.3769552428683822E-2</v>
      </c>
      <c r="Z70" s="603">
        <f t="shared" si="130"/>
        <v>3.7311679803414301E-3</v>
      </c>
      <c r="AA70" s="604">
        <f t="shared" si="130"/>
        <v>1.2709976303436172E-2</v>
      </c>
      <c r="AB70" s="604">
        <f t="shared" si="130"/>
        <v>5.2045200181539165E-3</v>
      </c>
      <c r="AC70" s="605">
        <f t="shared" si="130"/>
        <v>2.002891806368473E-3</v>
      </c>
      <c r="AD70" s="603">
        <f t="shared" si="130"/>
        <v>3.4023192769893013E-3</v>
      </c>
      <c r="AE70" s="604">
        <f t="shared" si="130"/>
        <v>1.1589775002116373E-2</v>
      </c>
      <c r="AF70" s="604">
        <f t="shared" si="130"/>
        <v>4.7458165589267902E-3</v>
      </c>
      <c r="AG70" s="605">
        <f t="shared" si="130"/>
        <v>1.8263657488580319E-3</v>
      </c>
      <c r="AH70" s="603">
        <f t="shared" si="130"/>
        <v>3.0734705736371773E-3</v>
      </c>
      <c r="AI70" s="604">
        <f t="shared" si="130"/>
        <v>1.0469573700796575E-2</v>
      </c>
      <c r="AJ70" s="604">
        <f t="shared" si="130"/>
        <v>4.2871130996996673E-3</v>
      </c>
      <c r="AK70" s="605">
        <f t="shared" si="130"/>
        <v>1.6498396913475905E-3</v>
      </c>
      <c r="AL70" s="573"/>
    </row>
    <row r="71" spans="4:73">
      <c r="D71" s="572"/>
      <c r="E71" s="876"/>
      <c r="F71" s="878" t="s">
        <v>339</v>
      </c>
      <c r="G71" s="878"/>
      <c r="H71" s="482" t="s">
        <v>422</v>
      </c>
      <c r="I71" s="483"/>
      <c r="J71" s="484"/>
      <c r="K71" s="534">
        <f t="shared" ref="K71:M71" si="131">K37</f>
        <v>0</v>
      </c>
      <c r="L71" s="534">
        <f t="shared" si="131"/>
        <v>0.125</v>
      </c>
      <c r="M71" s="534">
        <f t="shared" si="131"/>
        <v>0.04</v>
      </c>
      <c r="N71" s="603">
        <v>0</v>
      </c>
      <c r="O71" s="604">
        <v>0</v>
      </c>
      <c r="P71" s="604">
        <v>0</v>
      </c>
      <c r="Q71" s="605">
        <v>0</v>
      </c>
      <c r="R71" s="603">
        <v>0</v>
      </c>
      <c r="S71" s="604">
        <v>0</v>
      </c>
      <c r="T71" s="604">
        <v>0</v>
      </c>
      <c r="U71" s="605">
        <v>0</v>
      </c>
      <c r="V71" s="603">
        <v>0</v>
      </c>
      <c r="W71" s="604">
        <v>0</v>
      </c>
      <c r="X71" s="604">
        <v>0</v>
      </c>
      <c r="Y71" s="605">
        <v>0</v>
      </c>
      <c r="Z71" s="603">
        <v>0</v>
      </c>
      <c r="AA71" s="604">
        <v>0</v>
      </c>
      <c r="AB71" s="604">
        <v>0</v>
      </c>
      <c r="AC71" s="605">
        <v>0</v>
      </c>
      <c r="AD71" s="603">
        <v>0</v>
      </c>
      <c r="AE71" s="604">
        <v>0</v>
      </c>
      <c r="AF71" s="604">
        <v>0</v>
      </c>
      <c r="AG71" s="605">
        <v>0</v>
      </c>
      <c r="AH71" s="603">
        <v>0</v>
      </c>
      <c r="AI71" s="604">
        <v>0</v>
      </c>
      <c r="AJ71" s="604">
        <v>0</v>
      </c>
      <c r="AK71" s="605">
        <v>0</v>
      </c>
      <c r="AL71" s="573"/>
    </row>
    <row r="72" spans="4:73">
      <c r="D72" s="572"/>
      <c r="E72" s="877"/>
      <c r="F72" s="878"/>
      <c r="G72" s="878"/>
      <c r="H72" s="485" t="s">
        <v>340</v>
      </c>
      <c r="I72" s="486"/>
      <c r="J72" s="487"/>
      <c r="K72" s="535">
        <f t="shared" ref="K72:M72" si="132">K38</f>
        <v>0.5</v>
      </c>
      <c r="L72" s="535">
        <f t="shared" si="132"/>
        <v>4.1666666666666664E-2</v>
      </c>
      <c r="M72" s="535">
        <f t="shared" si="132"/>
        <v>4.1666666666666664E-2</v>
      </c>
      <c r="N72" s="606">
        <f t="shared" ref="N72:AK72" si="133">VLOOKUP(N$64&amp;N$60&amp;"NoRepl",t.ResUESSummary,8,FALSE)</f>
        <v>5.2968681054034843E-2</v>
      </c>
      <c r="O72" s="607">
        <f t="shared" si="133"/>
        <v>9.8498626311743553E-2</v>
      </c>
      <c r="P72" s="607">
        <f t="shared" si="133"/>
        <v>5.8515598971287039E-2</v>
      </c>
      <c r="Q72" s="608">
        <f t="shared" si="133"/>
        <v>4.2057612493915736E-2</v>
      </c>
      <c r="R72" s="606">
        <f t="shared" si="133"/>
        <v>5.2968681054034843E-2</v>
      </c>
      <c r="S72" s="607">
        <f t="shared" si="133"/>
        <v>9.8498626311743553E-2</v>
      </c>
      <c r="T72" s="607">
        <f t="shared" si="133"/>
        <v>5.8515598971287039E-2</v>
      </c>
      <c r="U72" s="608">
        <f t="shared" si="133"/>
        <v>4.2057612493915736E-2</v>
      </c>
      <c r="V72" s="606">
        <f t="shared" si="133"/>
        <v>5.2968681054034843E-2</v>
      </c>
      <c r="W72" s="607">
        <f t="shared" si="133"/>
        <v>9.8498626311743553E-2</v>
      </c>
      <c r="X72" s="607">
        <f t="shared" si="133"/>
        <v>5.8515598971287039E-2</v>
      </c>
      <c r="Y72" s="608">
        <f t="shared" si="133"/>
        <v>4.2057612493915736E-2</v>
      </c>
      <c r="Z72" s="606">
        <f t="shared" si="133"/>
        <v>5.2968681054034843E-2</v>
      </c>
      <c r="AA72" s="607">
        <f t="shared" si="133"/>
        <v>9.8498626311743553E-2</v>
      </c>
      <c r="AB72" s="607">
        <f t="shared" si="133"/>
        <v>5.8515598971287039E-2</v>
      </c>
      <c r="AC72" s="608">
        <f t="shared" si="133"/>
        <v>4.2057612493915736E-2</v>
      </c>
      <c r="AD72" s="606">
        <f t="shared" si="133"/>
        <v>5.2968681054034843E-2</v>
      </c>
      <c r="AE72" s="607">
        <f t="shared" si="133"/>
        <v>9.8498626311743553E-2</v>
      </c>
      <c r="AF72" s="607">
        <f t="shared" si="133"/>
        <v>5.8515598971287039E-2</v>
      </c>
      <c r="AG72" s="608">
        <f t="shared" si="133"/>
        <v>4.2057612493915736E-2</v>
      </c>
      <c r="AH72" s="606">
        <f t="shared" si="133"/>
        <v>5.2968681054034843E-2</v>
      </c>
      <c r="AI72" s="607">
        <f t="shared" si="133"/>
        <v>9.8498626311743553E-2</v>
      </c>
      <c r="AJ72" s="607">
        <f t="shared" si="133"/>
        <v>5.8515598971287039E-2</v>
      </c>
      <c r="AK72" s="608">
        <f t="shared" si="133"/>
        <v>4.2057612493915736E-2</v>
      </c>
      <c r="AL72" s="573"/>
    </row>
    <row r="73" spans="4:73" ht="15" thickBot="1">
      <c r="D73" s="572"/>
      <c r="E73" s="666" t="s">
        <v>346</v>
      </c>
      <c r="F73" s="667"/>
      <c r="G73" s="667"/>
      <c r="H73" s="667"/>
      <c r="I73" s="667"/>
      <c r="J73" s="668"/>
      <c r="K73" s="669">
        <f t="shared" ref="K73:M73" si="134">K39</f>
        <v>0</v>
      </c>
      <c r="L73" s="669">
        <f t="shared" si="134"/>
        <v>0.16666666666666666</v>
      </c>
      <c r="M73" s="669">
        <f t="shared" si="134"/>
        <v>0.2</v>
      </c>
      <c r="N73" s="686">
        <v>0</v>
      </c>
      <c r="O73" s="687">
        <v>0</v>
      </c>
      <c r="P73" s="687">
        <v>0</v>
      </c>
      <c r="Q73" s="688">
        <v>0</v>
      </c>
      <c r="R73" s="686">
        <v>0</v>
      </c>
      <c r="S73" s="687">
        <v>0</v>
      </c>
      <c r="T73" s="687">
        <v>0</v>
      </c>
      <c r="U73" s="688">
        <v>0</v>
      </c>
      <c r="V73" s="686">
        <v>0</v>
      </c>
      <c r="W73" s="687">
        <v>0</v>
      </c>
      <c r="X73" s="687">
        <v>0</v>
      </c>
      <c r="Y73" s="688">
        <v>0</v>
      </c>
      <c r="Z73" s="686">
        <v>0</v>
      </c>
      <c r="AA73" s="687">
        <v>0</v>
      </c>
      <c r="AB73" s="687">
        <v>0</v>
      </c>
      <c r="AC73" s="688">
        <v>0</v>
      </c>
      <c r="AD73" s="686">
        <v>0</v>
      </c>
      <c r="AE73" s="687">
        <v>0</v>
      </c>
      <c r="AF73" s="687">
        <v>0</v>
      </c>
      <c r="AG73" s="688">
        <v>0</v>
      </c>
      <c r="AH73" s="686">
        <v>0</v>
      </c>
      <c r="AI73" s="687">
        <v>0</v>
      </c>
      <c r="AJ73" s="687">
        <v>0</v>
      </c>
      <c r="AK73" s="688">
        <v>0</v>
      </c>
      <c r="AL73" s="573"/>
    </row>
    <row r="74" spans="4:73" ht="15" customHeight="1" thickTop="1">
      <c r="D74" s="572"/>
      <c r="E74" s="14"/>
      <c r="F74" s="14"/>
      <c r="G74" s="14"/>
      <c r="H74" s="14"/>
      <c r="I74" s="14"/>
      <c r="J74" s="14"/>
      <c r="K74" s="859" t="s">
        <v>463</v>
      </c>
      <c r="L74" s="860"/>
      <c r="M74" s="673" t="s">
        <v>464</v>
      </c>
      <c r="N74" s="692">
        <f>SUMPRODUCT($K65:$K73,N65:N73)</f>
        <v>3.188089012146865E-2</v>
      </c>
      <c r="O74" s="693">
        <f t="shared" ref="O74:Q74" si="135">SUMPRODUCT($K65:$K73,O65:O73)</f>
        <v>6.1056633406205277E-2</v>
      </c>
      <c r="P74" s="693">
        <f t="shared" si="135"/>
        <v>3.565134654528028E-2</v>
      </c>
      <c r="Q74" s="694">
        <f t="shared" si="135"/>
        <v>2.5207837076651002E-2</v>
      </c>
      <c r="R74" s="692">
        <f>SUMPRODUCT($K65:$K73,R65:R73)</f>
        <v>3.1405262021618717E-2</v>
      </c>
      <c r="S74" s="693">
        <f t="shared" ref="S74" si="136">SUMPRODUCT($K65:$K73,S65:S73)</f>
        <v>6.0015988231599614E-2</v>
      </c>
      <c r="T74" s="693">
        <f t="shared" ref="T74" si="137">SUMPRODUCT($K65:$K73,T65:T73)</f>
        <v>3.5087847482397044E-2</v>
      </c>
      <c r="U74" s="694">
        <f t="shared" ref="U74" si="138">SUMPRODUCT($K65:$K73,U65:U73)</f>
        <v>2.4839515715389913E-2</v>
      </c>
      <c r="V74" s="692">
        <f>SUMPRODUCT($K65:$K73,V65:V73)</f>
        <v>3.0929633921768777E-2</v>
      </c>
      <c r="W74" s="693">
        <f t="shared" ref="W74" si="139">SUMPRODUCT($K65:$K73,W65:W73)</f>
        <v>5.8975343056993951E-2</v>
      </c>
      <c r="X74" s="693">
        <f t="shared" ref="X74" si="140">SUMPRODUCT($K65:$K73,X65:X73)</f>
        <v>3.4524348419513802E-2</v>
      </c>
      <c r="Y74" s="694">
        <f t="shared" ref="Y74" si="141">SUMPRODUCT($K65:$K73,Y65:Y73)</f>
        <v>2.4471194354128825E-2</v>
      </c>
      <c r="Z74" s="692">
        <f>SUMPRODUCT($K65:$K73,Z65:Z73)</f>
        <v>2.7417132522102778E-2</v>
      </c>
      <c r="AA74" s="693">
        <f t="shared" ref="AA74" si="142">SUMPRODUCT($K65:$K73,AA65:AA73)</f>
        <v>5.2426807231730821E-2</v>
      </c>
      <c r="AB74" s="693">
        <f t="shared" ref="AB74" si="143">SUMPRODUCT($K65:$K73,AB65:AB73)</f>
        <v>3.0558929490181998E-2</v>
      </c>
      <c r="AC74" s="694">
        <f t="shared" ref="AC74" si="144">SUMPRODUCT($K65:$K73,AC65:AC73)</f>
        <v>2.1529529198549988E-2</v>
      </c>
      <c r="AD74" s="692">
        <f>SUMPRODUCT($K65:$K73,AD65:AD73)</f>
        <v>2.7334920346264748E-2</v>
      </c>
      <c r="AE74" s="693">
        <f t="shared" ref="AE74" si="145">SUMPRODUCT($K65:$K73,AE65:AE73)</f>
        <v>5.2146756906400873E-2</v>
      </c>
      <c r="AF74" s="693">
        <f t="shared" ref="AF74" si="146">SUMPRODUCT($K65:$K73,AF65:AF73)</f>
        <v>3.0444253625375218E-2</v>
      </c>
      <c r="AG74" s="694">
        <f t="shared" ref="AG74" si="147">SUMPRODUCT($K65:$K73,AG65:AG73)</f>
        <v>2.1485397684172375E-2</v>
      </c>
      <c r="AH74" s="692">
        <f>SUMPRODUCT($K65:$K73,AH65:AH73)</f>
        <v>2.7252708170426715E-2</v>
      </c>
      <c r="AI74" s="693">
        <f t="shared" ref="AI74" si="148">SUMPRODUCT($K65:$K73,AI65:AI73)</f>
        <v>5.1866706581070919E-2</v>
      </c>
      <c r="AJ74" s="693">
        <f t="shared" ref="AJ74" si="149">SUMPRODUCT($K65:$K73,AJ65:AJ73)</f>
        <v>3.0329577760568438E-2</v>
      </c>
      <c r="AK74" s="694">
        <f t="shared" ref="AK74" si="150">SUMPRODUCT($K65:$K73,AK65:AK73)</f>
        <v>2.1441266169794766E-2</v>
      </c>
      <c r="AL74" s="573"/>
    </row>
    <row r="75" spans="4:73">
      <c r="D75" s="572"/>
      <c r="E75" s="14"/>
      <c r="F75" s="14"/>
      <c r="G75" s="14"/>
      <c r="H75" s="14"/>
      <c r="I75" s="14"/>
      <c r="J75" s="14"/>
      <c r="K75" s="861"/>
      <c r="L75" s="862"/>
      <c r="M75" s="659" t="s">
        <v>465</v>
      </c>
      <c r="N75" s="660">
        <f>N74/$N$59</f>
        <v>0.19671389355354615</v>
      </c>
      <c r="O75" s="661">
        <f>O74/$O$59</f>
        <v>0.20285118222743628</v>
      </c>
      <c r="P75" s="661">
        <f>P74/$P$59</f>
        <v>0.20164170447525814</v>
      </c>
      <c r="Q75" s="662">
        <f>Q74/$Q$59</f>
        <v>0.19258412724089832</v>
      </c>
      <c r="R75" s="660">
        <f>R74/$N$59</f>
        <v>0.19377913686863321</v>
      </c>
      <c r="S75" s="661">
        <f>S74/$O$59</f>
        <v>0.19939380024989375</v>
      </c>
      <c r="T75" s="661">
        <f>T74/$P$59</f>
        <v>0.1984545903121038</v>
      </c>
      <c r="U75" s="662">
        <f>U74/$Q$59</f>
        <v>0.18977020680468809</v>
      </c>
      <c r="V75" s="660">
        <f>V74/$N$59</f>
        <v>0.19084438018372024</v>
      </c>
      <c r="W75" s="661">
        <f>W74/$O$59</f>
        <v>0.1959364182723512</v>
      </c>
      <c r="X75" s="661">
        <f>X74/$P$59</f>
        <v>0.19526747614894943</v>
      </c>
      <c r="Y75" s="662">
        <f>Y74/$Q$59</f>
        <v>0.18695628636847786</v>
      </c>
      <c r="Z75" s="660">
        <f>Z74/$N$59</f>
        <v>0.16917127683535146</v>
      </c>
      <c r="AA75" s="661">
        <f>AA74/$O$59</f>
        <v>0.17417992499870896</v>
      </c>
      <c r="AB75" s="661">
        <f>AB74/$P$59</f>
        <v>0.17283932379702172</v>
      </c>
      <c r="AC75" s="662">
        <f>AC74/$Q$59</f>
        <v>0.16448240196104275</v>
      </c>
      <c r="AD75" s="660">
        <f>AD74/$N$59</f>
        <v>0.16866400501373699</v>
      </c>
      <c r="AE75" s="661">
        <f>AE74/$O$59</f>
        <v>0.17324950128539324</v>
      </c>
      <c r="AF75" s="661">
        <f>AF74/$P$59</f>
        <v>0.17219072454110174</v>
      </c>
      <c r="AG75" s="662">
        <f>AG74/$Q$59</f>
        <v>0.16414524375288755</v>
      </c>
      <c r="AH75" s="660">
        <f>AH74/$N$59</f>
        <v>0.16815673319212252</v>
      </c>
      <c r="AI75" s="661">
        <f>AI74/$O$59</f>
        <v>0.17231907757207751</v>
      </c>
      <c r="AJ75" s="661">
        <f>AJ74/$P$59</f>
        <v>0.17154212528518178</v>
      </c>
      <c r="AK75" s="662">
        <f>AK74/$Q$59</f>
        <v>0.16380808554473236</v>
      </c>
      <c r="AL75" s="573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</row>
    <row r="76" spans="4:73">
      <c r="D76" s="572"/>
      <c r="E76" s="14"/>
      <c r="F76" s="14"/>
      <c r="G76" s="14"/>
      <c r="H76" s="14"/>
      <c r="I76" s="14"/>
      <c r="J76" s="14"/>
      <c r="K76" s="861"/>
      <c r="L76" s="862"/>
      <c r="M76" s="659"/>
      <c r="N76" s="663"/>
      <c r="O76" s="664"/>
      <c r="P76" s="664"/>
      <c r="Q76" s="665"/>
      <c r="R76" s="663"/>
      <c r="S76" s="664"/>
      <c r="T76" s="664"/>
      <c r="U76" s="665"/>
      <c r="V76" s="663"/>
      <c r="W76" s="664"/>
      <c r="X76" s="664"/>
      <c r="Y76" s="665"/>
      <c r="Z76" s="663"/>
      <c r="AA76" s="664"/>
      <c r="AB76" s="664"/>
      <c r="AC76" s="665"/>
      <c r="AD76" s="663"/>
      <c r="AE76" s="664"/>
      <c r="AF76" s="664"/>
      <c r="AG76" s="665"/>
      <c r="AH76" s="663"/>
      <c r="AI76" s="664"/>
      <c r="AJ76" s="664"/>
      <c r="AK76" s="665"/>
      <c r="AL76" s="573"/>
      <c r="AN76" s="14"/>
      <c r="AO76" s="14"/>
      <c r="AP76" s="14"/>
      <c r="AQ76" s="14"/>
      <c r="AR76" s="14"/>
      <c r="AS76" s="14"/>
      <c r="AT76" s="14"/>
      <c r="AU76" s="14"/>
      <c r="AV76" s="702"/>
      <c r="AW76" s="702"/>
      <c r="AX76" s="702"/>
      <c r="AY76" s="702"/>
      <c r="AZ76" s="702"/>
      <c r="BA76" s="702"/>
      <c r="BB76" s="702"/>
      <c r="BC76" s="702"/>
      <c r="BD76" s="702"/>
      <c r="BE76" s="702"/>
      <c r="BF76" s="702"/>
      <c r="BG76" s="702"/>
      <c r="BH76" s="702"/>
      <c r="BI76" s="702"/>
      <c r="BJ76" s="702"/>
      <c r="BK76" s="702"/>
      <c r="BL76" s="702"/>
      <c r="BM76" s="702"/>
      <c r="BN76" s="702"/>
      <c r="BO76" s="702"/>
      <c r="BP76" s="702"/>
      <c r="BQ76" s="702"/>
      <c r="BR76" s="702"/>
      <c r="BS76" s="702"/>
      <c r="BT76" s="14"/>
      <c r="BU76" s="14"/>
    </row>
    <row r="77" spans="4:73" ht="15" thickBot="1">
      <c r="D77" s="572"/>
      <c r="E77" s="14"/>
      <c r="F77" s="14"/>
      <c r="G77" s="14"/>
      <c r="H77" s="14"/>
      <c r="I77" s="14"/>
      <c r="J77" s="14"/>
      <c r="K77" s="863"/>
      <c r="L77" s="864"/>
      <c r="M77" s="677"/>
      <c r="N77" s="678"/>
      <c r="O77" s="679"/>
      <c r="P77" s="679"/>
      <c r="Q77" s="680"/>
      <c r="R77" s="678"/>
      <c r="S77" s="679"/>
      <c r="T77" s="679"/>
      <c r="U77" s="680"/>
      <c r="V77" s="678"/>
      <c r="W77" s="679"/>
      <c r="X77" s="679"/>
      <c r="Y77" s="680"/>
      <c r="Z77" s="678"/>
      <c r="AA77" s="679"/>
      <c r="AB77" s="679"/>
      <c r="AC77" s="680"/>
      <c r="AD77" s="678"/>
      <c r="AE77" s="679"/>
      <c r="AF77" s="679"/>
      <c r="AG77" s="680"/>
      <c r="AH77" s="678"/>
      <c r="AI77" s="679"/>
      <c r="AJ77" s="679"/>
      <c r="AK77" s="680"/>
      <c r="AL77" s="573"/>
      <c r="AN77" s="14"/>
      <c r="AO77" s="14"/>
      <c r="AP77" s="14"/>
      <c r="AQ77" s="14"/>
      <c r="AR77" s="14"/>
      <c r="AS77" s="14"/>
      <c r="AT77" s="14"/>
      <c r="AU77" s="14"/>
      <c r="AV77" s="652"/>
      <c r="AW77" s="652"/>
      <c r="AX77" s="652"/>
      <c r="AY77" s="652"/>
      <c r="AZ77" s="652"/>
      <c r="BA77" s="652"/>
      <c r="BB77" s="652"/>
      <c r="BC77" s="652"/>
      <c r="BD77" s="652"/>
      <c r="BE77" s="652"/>
      <c r="BF77" s="652"/>
      <c r="BG77" s="652"/>
      <c r="BH77" s="652"/>
      <c r="BI77" s="652"/>
      <c r="BJ77" s="652"/>
      <c r="BK77" s="652"/>
      <c r="BL77" s="652"/>
      <c r="BM77" s="652"/>
      <c r="BN77" s="652"/>
      <c r="BO77" s="652"/>
      <c r="BP77" s="652"/>
      <c r="BQ77" s="652"/>
      <c r="BR77" s="652"/>
      <c r="BS77" s="652"/>
      <c r="BT77" s="14"/>
      <c r="BU77" s="14"/>
    </row>
    <row r="78" spans="4:73" ht="15.75" customHeight="1" thickTop="1">
      <c r="D78" s="572"/>
      <c r="E78" s="14"/>
      <c r="F78" s="14"/>
      <c r="G78" s="14"/>
      <c r="H78" s="14"/>
      <c r="I78" s="14"/>
      <c r="J78" s="14"/>
      <c r="K78" s="859" t="s">
        <v>467</v>
      </c>
      <c r="L78" s="860"/>
      <c r="M78" s="673" t="s">
        <v>464</v>
      </c>
      <c r="N78" s="692">
        <f>SUMPRODUCT($L65:$L73,N65:N73)</f>
        <v>9.4024278365197611E-3</v>
      </c>
      <c r="O78" s="693">
        <f t="shared" ref="O78:AK78" si="151">SUMPRODUCT($L65:$L73,O65:O73)</f>
        <v>1.9847203096767317E-2</v>
      </c>
      <c r="P78" s="693">
        <f t="shared" si="151"/>
        <v>1.0962879369985974E-2</v>
      </c>
      <c r="Q78" s="694">
        <f t="shared" si="151"/>
        <v>7.3244416268373365E-3</v>
      </c>
      <c r="R78" s="692">
        <f t="shared" si="151"/>
        <v>8.7682570367198422E-3</v>
      </c>
      <c r="S78" s="693">
        <f t="shared" si="151"/>
        <v>1.8459676197293096E-2</v>
      </c>
      <c r="T78" s="693">
        <f t="shared" si="151"/>
        <v>1.0211547286141653E-2</v>
      </c>
      <c r="U78" s="694">
        <f t="shared" si="151"/>
        <v>6.8333464784892158E-3</v>
      </c>
      <c r="V78" s="692">
        <f t="shared" si="151"/>
        <v>8.1340862369199234E-3</v>
      </c>
      <c r="W78" s="693">
        <f t="shared" si="151"/>
        <v>1.7072149297818879E-2</v>
      </c>
      <c r="X78" s="693">
        <f t="shared" si="151"/>
        <v>9.4602152022973326E-3</v>
      </c>
      <c r="Y78" s="694">
        <f t="shared" si="151"/>
        <v>6.3422513301410952E-3</v>
      </c>
      <c r="Z78" s="692">
        <f t="shared" si="151"/>
        <v>3.4507510373652617E-3</v>
      </c>
      <c r="AA78" s="693">
        <f t="shared" si="151"/>
        <v>8.3407681974680369E-3</v>
      </c>
      <c r="AB78" s="693">
        <f t="shared" si="151"/>
        <v>4.1729899631882655E-3</v>
      </c>
      <c r="AC78" s="694">
        <f t="shared" si="151"/>
        <v>2.4200311227026462E-3</v>
      </c>
      <c r="AD78" s="692">
        <f t="shared" si="151"/>
        <v>3.3411348029145521E-3</v>
      </c>
      <c r="AE78" s="693">
        <f t="shared" si="151"/>
        <v>7.9673677636947719E-3</v>
      </c>
      <c r="AF78" s="693">
        <f t="shared" si="151"/>
        <v>4.0200888101125567E-3</v>
      </c>
      <c r="AG78" s="694">
        <f t="shared" si="151"/>
        <v>2.3611891035324995E-3</v>
      </c>
      <c r="AH78" s="692">
        <f t="shared" si="151"/>
        <v>3.2315185684638438E-3</v>
      </c>
      <c r="AI78" s="693">
        <f t="shared" si="151"/>
        <v>7.5939673299215051E-3</v>
      </c>
      <c r="AJ78" s="693">
        <f t="shared" si="151"/>
        <v>3.8671876570368488E-3</v>
      </c>
      <c r="AK78" s="694">
        <f t="shared" si="151"/>
        <v>2.3023470843623523E-3</v>
      </c>
      <c r="AL78" s="573"/>
      <c r="AN78" s="14"/>
      <c r="AO78" s="14"/>
      <c r="AP78" s="14"/>
      <c r="AQ78" s="14"/>
      <c r="AR78" s="14"/>
      <c r="AS78" s="14"/>
      <c r="AT78" s="14"/>
      <c r="AU78" s="14"/>
      <c r="AV78" s="652"/>
      <c r="AW78" s="629"/>
      <c r="AX78" s="629"/>
      <c r="AY78" s="629"/>
      <c r="AZ78" s="629"/>
      <c r="BA78" s="629"/>
      <c r="BB78" s="629"/>
      <c r="BC78" s="629"/>
      <c r="BD78" s="629"/>
      <c r="BE78" s="629"/>
      <c r="BF78" s="629"/>
      <c r="BG78" s="629"/>
      <c r="BH78" s="629"/>
      <c r="BI78" s="629"/>
      <c r="BJ78" s="629"/>
      <c r="BK78" s="629"/>
      <c r="BL78" s="629"/>
      <c r="BM78" s="629"/>
      <c r="BN78" s="629"/>
      <c r="BO78" s="629"/>
      <c r="BP78" s="629"/>
      <c r="BQ78" s="629"/>
      <c r="BR78" s="629"/>
      <c r="BS78" s="629"/>
      <c r="BT78" s="14"/>
      <c r="BU78" s="14"/>
    </row>
    <row r="79" spans="4:73">
      <c r="D79" s="572"/>
      <c r="E79" s="14"/>
      <c r="F79" s="14"/>
      <c r="G79" s="14"/>
      <c r="H79" s="14"/>
      <c r="I79" s="14"/>
      <c r="J79" s="14"/>
      <c r="K79" s="861"/>
      <c r="L79" s="862"/>
      <c r="M79" s="659" t="s">
        <v>465</v>
      </c>
      <c r="N79" s="660">
        <f>N78/$N$59</f>
        <v>5.8015575522859429E-2</v>
      </c>
      <c r="O79" s="661">
        <f>O78/$O$59</f>
        <v>6.5939249963266292E-2</v>
      </c>
      <c r="P79" s="661">
        <f>P78/$P$59</f>
        <v>6.2005334898444779E-2</v>
      </c>
      <c r="Q79" s="662">
        <f>Q78/$Q$59</f>
        <v>5.5957644995172112E-2</v>
      </c>
      <c r="R79" s="660">
        <f>R78/$N$59</f>
        <v>5.4102566609642119E-2</v>
      </c>
      <c r="S79" s="661">
        <f>S78/$O$59</f>
        <v>6.1329407326542899E-2</v>
      </c>
      <c r="T79" s="661">
        <f>T78/$P$59</f>
        <v>5.7755849347572288E-2</v>
      </c>
      <c r="U79" s="662">
        <f>U78/$Q$59</f>
        <v>5.2205751080225113E-2</v>
      </c>
      <c r="V79" s="660">
        <f>V78/$N$59</f>
        <v>5.0189557696424816E-2</v>
      </c>
      <c r="W79" s="661">
        <f>W78/$O$59</f>
        <v>5.6719564689819521E-2</v>
      </c>
      <c r="X79" s="661">
        <f>X78/$P$59</f>
        <v>5.3506363796699798E-2</v>
      </c>
      <c r="Y79" s="662">
        <f>Y78/$Q$59</f>
        <v>4.8453857165278107E-2</v>
      </c>
      <c r="Z79" s="660">
        <f>Z78/$N$59</f>
        <v>2.1292086565266467E-2</v>
      </c>
      <c r="AA79" s="661">
        <f>AA78/$O$59</f>
        <v>2.7710906991629841E-2</v>
      </c>
      <c r="AB79" s="661">
        <f>AB78/$P$59</f>
        <v>2.3602160660796196E-2</v>
      </c>
      <c r="AC79" s="662">
        <f>AC78/$Q$59</f>
        <v>1.8488677955364626E-2</v>
      </c>
      <c r="AD79" s="660">
        <f>AD78/$N$59</f>
        <v>2.0615724136447178E-2</v>
      </c>
      <c r="AE79" s="661">
        <f>AE78/$O$59</f>
        <v>2.6470342040542213E-2</v>
      </c>
      <c r="AF79" s="661">
        <f>AF78/$P$59</f>
        <v>2.2737361652902906E-2</v>
      </c>
      <c r="AG79" s="662">
        <f>AG78/$Q$59</f>
        <v>1.8039133677824396E-2</v>
      </c>
      <c r="AH79" s="660">
        <f>AH78/$N$59</f>
        <v>1.9939361707627896E-2</v>
      </c>
      <c r="AI79" s="661">
        <f>AI78/$O$59</f>
        <v>2.5229777089454578E-2</v>
      </c>
      <c r="AJ79" s="661">
        <f>AJ78/$P$59</f>
        <v>2.187256264500962E-2</v>
      </c>
      <c r="AK79" s="662">
        <f>AK78/$Q$59</f>
        <v>1.7589589400284163E-2</v>
      </c>
      <c r="AL79" s="573"/>
      <c r="AN79" s="14"/>
      <c r="AO79" s="14"/>
      <c r="AP79" s="14"/>
      <c r="AQ79" s="14"/>
      <c r="AR79" s="14"/>
      <c r="AS79" s="14"/>
      <c r="AT79" s="14"/>
      <c r="AU79" s="14"/>
      <c r="AV79" s="702"/>
      <c r="AW79" s="629"/>
      <c r="AX79" s="629"/>
      <c r="AY79" s="629"/>
      <c r="AZ79" s="629"/>
      <c r="BA79" s="629"/>
      <c r="BB79" s="629"/>
      <c r="BC79" s="629"/>
      <c r="BD79" s="629"/>
      <c r="BE79" s="629"/>
      <c r="BF79" s="629"/>
      <c r="BG79" s="629"/>
      <c r="BH79" s="629"/>
      <c r="BI79" s="629"/>
      <c r="BJ79" s="629"/>
      <c r="BK79" s="629"/>
      <c r="BL79" s="629"/>
      <c r="BM79" s="629"/>
      <c r="BN79" s="629"/>
      <c r="BO79" s="629"/>
      <c r="BP79" s="629"/>
      <c r="BQ79" s="629"/>
      <c r="BR79" s="629"/>
      <c r="BS79" s="629"/>
      <c r="BT79" s="14"/>
      <c r="BU79" s="14"/>
    </row>
    <row r="80" spans="4:73">
      <c r="D80" s="572"/>
      <c r="E80" s="14"/>
      <c r="F80" s="14"/>
      <c r="G80" s="14"/>
      <c r="H80" s="14"/>
      <c r="I80" s="14"/>
      <c r="J80" s="14"/>
      <c r="K80" s="861"/>
      <c r="L80" s="862"/>
      <c r="M80" s="659"/>
      <c r="N80" s="663"/>
      <c r="O80" s="664"/>
      <c r="P80" s="664"/>
      <c r="Q80" s="665"/>
      <c r="R80" s="663"/>
      <c r="S80" s="664"/>
      <c r="T80" s="664"/>
      <c r="U80" s="665"/>
      <c r="V80" s="663"/>
      <c r="W80" s="664"/>
      <c r="X80" s="664"/>
      <c r="Y80" s="665"/>
      <c r="Z80" s="663"/>
      <c r="AA80" s="664"/>
      <c r="AB80" s="664"/>
      <c r="AC80" s="665"/>
      <c r="AD80" s="663"/>
      <c r="AE80" s="664"/>
      <c r="AF80" s="664"/>
      <c r="AG80" s="665"/>
      <c r="AH80" s="663"/>
      <c r="AI80" s="664"/>
      <c r="AJ80" s="664"/>
      <c r="AK80" s="665"/>
      <c r="AL80" s="573"/>
      <c r="AN80" s="14"/>
      <c r="AO80" s="14"/>
      <c r="AP80" s="14"/>
      <c r="AQ80" s="14"/>
      <c r="AR80" s="14"/>
      <c r="AS80" s="14"/>
      <c r="AT80" s="14"/>
      <c r="AU80" s="14"/>
      <c r="AV80" s="702"/>
      <c r="AW80" s="702"/>
      <c r="AX80" s="702"/>
      <c r="AY80" s="702"/>
      <c r="AZ80" s="702"/>
      <c r="BA80" s="702"/>
      <c r="BB80" s="702"/>
      <c r="BC80" s="702"/>
      <c r="BD80" s="702"/>
      <c r="BE80" s="702"/>
      <c r="BF80" s="702"/>
      <c r="BG80" s="702"/>
      <c r="BH80" s="702"/>
      <c r="BI80" s="702"/>
      <c r="BJ80" s="702"/>
      <c r="BK80" s="702"/>
      <c r="BL80" s="702"/>
      <c r="BM80" s="702"/>
      <c r="BN80" s="702"/>
      <c r="BO80" s="702"/>
      <c r="BP80" s="702"/>
      <c r="BQ80" s="702"/>
      <c r="BR80" s="702"/>
      <c r="BS80" s="702"/>
      <c r="BT80" s="14"/>
      <c r="BU80" s="14"/>
    </row>
    <row r="81" spans="4:73" ht="15" thickBot="1">
      <c r="D81" s="572"/>
      <c r="E81" s="14"/>
      <c r="F81" s="14"/>
      <c r="G81" s="14"/>
      <c r="H81" s="14"/>
      <c r="I81" s="14"/>
      <c r="J81" s="14"/>
      <c r="K81" s="863"/>
      <c r="L81" s="864"/>
      <c r="M81" s="677"/>
      <c r="N81" s="678"/>
      <c r="O81" s="679"/>
      <c r="P81" s="679"/>
      <c r="Q81" s="680"/>
      <c r="R81" s="678"/>
      <c r="S81" s="679"/>
      <c r="T81" s="679"/>
      <c r="U81" s="680"/>
      <c r="V81" s="678"/>
      <c r="W81" s="679"/>
      <c r="X81" s="679"/>
      <c r="Y81" s="680"/>
      <c r="Z81" s="678"/>
      <c r="AA81" s="679"/>
      <c r="AB81" s="679"/>
      <c r="AC81" s="680"/>
      <c r="AD81" s="678"/>
      <c r="AE81" s="679"/>
      <c r="AF81" s="679"/>
      <c r="AG81" s="680"/>
      <c r="AH81" s="678"/>
      <c r="AI81" s="679"/>
      <c r="AJ81" s="679"/>
      <c r="AK81" s="680"/>
      <c r="AL81" s="573"/>
      <c r="AN81" s="14"/>
      <c r="AO81" s="14"/>
      <c r="AP81" s="14"/>
      <c r="AQ81" s="14"/>
      <c r="AR81" s="14"/>
      <c r="AS81" s="14"/>
      <c r="AT81" s="14"/>
      <c r="AU81" s="14"/>
      <c r="AV81" s="652"/>
      <c r="AW81" s="652"/>
      <c r="AX81" s="652"/>
      <c r="AY81" s="652"/>
      <c r="AZ81" s="652"/>
      <c r="BA81" s="652"/>
      <c r="BB81" s="652"/>
      <c r="BC81" s="652"/>
      <c r="BD81" s="652"/>
      <c r="BE81" s="652"/>
      <c r="BF81" s="652"/>
      <c r="BG81" s="652"/>
      <c r="BH81" s="652"/>
      <c r="BI81" s="652"/>
      <c r="BJ81" s="652"/>
      <c r="BK81" s="652"/>
      <c r="BL81" s="652"/>
      <c r="BM81" s="652"/>
      <c r="BN81" s="652"/>
      <c r="BO81" s="652"/>
      <c r="BP81" s="652"/>
      <c r="BQ81" s="652"/>
      <c r="BR81" s="652"/>
      <c r="BS81" s="652"/>
      <c r="BT81" s="14"/>
      <c r="BU81" s="14"/>
    </row>
    <row r="82" spans="4:73" ht="15.75" customHeight="1" thickTop="1">
      <c r="D82" s="572"/>
      <c r="E82" s="14"/>
      <c r="F82" s="14"/>
      <c r="G82" s="14"/>
      <c r="H82" s="14"/>
      <c r="I82" s="14"/>
      <c r="J82" s="14"/>
      <c r="K82" s="859" t="s">
        <v>468</v>
      </c>
      <c r="L82" s="860"/>
      <c r="M82" s="673" t="s">
        <v>464</v>
      </c>
      <c r="N82" s="692">
        <f>SUMPRODUCT($M65:$M73,N65:N73)</f>
        <v>9.7621978094831769E-3</v>
      </c>
      <c r="O82" s="693">
        <f t="shared" ref="O82:AK82" si="152">SUMPRODUCT($M65:$M73,O65:O73)</f>
        <v>2.0634357780122882E-2</v>
      </c>
      <c r="P82" s="693">
        <f t="shared" si="152"/>
        <v>1.1389115840628426E-2</v>
      </c>
      <c r="Q82" s="694">
        <f t="shared" si="152"/>
        <v>7.6030436821502116E-3</v>
      </c>
      <c r="R82" s="692">
        <f t="shared" si="152"/>
        <v>9.0963184696932625E-3</v>
      </c>
      <c r="S82" s="693">
        <f t="shared" si="152"/>
        <v>1.9177454535674952E-2</v>
      </c>
      <c r="T82" s="693">
        <f t="shared" si="152"/>
        <v>1.0600217152591889E-2</v>
      </c>
      <c r="U82" s="694">
        <f t="shared" si="152"/>
        <v>7.0873937763846848E-3</v>
      </c>
      <c r="V82" s="692">
        <f t="shared" si="152"/>
        <v>8.4304391299033481E-3</v>
      </c>
      <c r="W82" s="693">
        <f t="shared" si="152"/>
        <v>1.7720551291227023E-2</v>
      </c>
      <c r="X82" s="693">
        <f t="shared" si="152"/>
        <v>9.8113184645553519E-3</v>
      </c>
      <c r="Y82" s="694">
        <f t="shared" si="152"/>
        <v>6.5717438706191598E-3</v>
      </c>
      <c r="Z82" s="692">
        <f t="shared" si="152"/>
        <v>3.5129371703709524E-3</v>
      </c>
      <c r="AA82" s="693">
        <f t="shared" si="152"/>
        <v>8.5526011358586403E-3</v>
      </c>
      <c r="AB82" s="693">
        <f t="shared" si="152"/>
        <v>4.2597319634908306E-3</v>
      </c>
      <c r="AC82" s="694">
        <f t="shared" si="152"/>
        <v>2.4534126528087878E-3</v>
      </c>
      <c r="AD82" s="717">
        <f t="shared" si="152"/>
        <v>3.3978401241977069E-3</v>
      </c>
      <c r="AE82" s="718">
        <f t="shared" si="152"/>
        <v>8.1605306803967104E-3</v>
      </c>
      <c r="AF82" s="718">
        <f t="shared" si="152"/>
        <v>4.0991857527613359E-3</v>
      </c>
      <c r="AG82" s="719">
        <f t="shared" si="152"/>
        <v>2.3916285326801333E-3</v>
      </c>
      <c r="AH82" s="692">
        <f t="shared" si="152"/>
        <v>3.2827430780244639E-3</v>
      </c>
      <c r="AI82" s="693">
        <f t="shared" si="152"/>
        <v>7.7684602249347822E-3</v>
      </c>
      <c r="AJ82" s="693">
        <f t="shared" si="152"/>
        <v>3.9386395420318437E-3</v>
      </c>
      <c r="AK82" s="694">
        <f t="shared" si="152"/>
        <v>2.3298444125514788E-3</v>
      </c>
      <c r="AL82" s="573"/>
      <c r="AN82" s="14"/>
      <c r="AO82" s="14"/>
      <c r="AP82" s="14"/>
      <c r="AQ82" s="14"/>
      <c r="AR82" s="14"/>
      <c r="AS82" s="14"/>
      <c r="AT82" s="14"/>
      <c r="AU82" s="14"/>
      <c r="AV82" s="652"/>
      <c r="AW82" s="629"/>
      <c r="AX82" s="629"/>
      <c r="AY82" s="629"/>
      <c r="AZ82" s="629"/>
      <c r="BA82" s="629"/>
      <c r="BB82" s="629"/>
      <c r="BC82" s="629"/>
      <c r="BD82" s="629"/>
      <c r="BE82" s="629"/>
      <c r="BF82" s="629"/>
      <c r="BG82" s="629"/>
      <c r="BH82" s="629"/>
      <c r="BI82" s="629"/>
      <c r="BJ82" s="629"/>
      <c r="BK82" s="629"/>
      <c r="BL82" s="629"/>
      <c r="BM82" s="629"/>
      <c r="BN82" s="629"/>
      <c r="BO82" s="629"/>
      <c r="BP82" s="629"/>
      <c r="BQ82" s="629"/>
      <c r="BR82" s="629"/>
      <c r="BS82" s="629"/>
      <c r="BT82" s="14"/>
      <c r="BU82" s="14"/>
    </row>
    <row r="83" spans="4:73">
      <c r="D83" s="572"/>
      <c r="E83" s="14"/>
      <c r="F83" s="14"/>
      <c r="G83" s="14"/>
      <c r="H83" s="14"/>
      <c r="I83" s="14"/>
      <c r="J83" s="14"/>
      <c r="K83" s="861"/>
      <c r="L83" s="862"/>
      <c r="M83" s="659" t="s">
        <v>465</v>
      </c>
      <c r="N83" s="660">
        <f>N82/$N$59</f>
        <v>6.0235455579396177E-2</v>
      </c>
      <c r="O83" s="661">
        <f>O82/$O$59</f>
        <v>6.8554449151407432E-2</v>
      </c>
      <c r="P83" s="661">
        <f>P82/$P$59</f>
        <v>6.4416100739805138E-2</v>
      </c>
      <c r="Q83" s="662">
        <f>Q82/$Q$59</f>
        <v>5.8086123273843958E-2</v>
      </c>
      <c r="R83" s="660">
        <f>R82/$N$59</f>
        <v>5.6126796220518006E-2</v>
      </c>
      <c r="S83" s="661">
        <f>S82/$O$59</f>
        <v>6.3714114382847881E-2</v>
      </c>
      <c r="T83" s="661">
        <f>T82/$P$59</f>
        <v>5.9954140911389023E-2</v>
      </c>
      <c r="U83" s="662">
        <f>U82/$Q$59</f>
        <v>5.4146634663149611E-2</v>
      </c>
      <c r="V83" s="660">
        <f>V82/$N$59</f>
        <v>5.2018136861639828E-2</v>
      </c>
      <c r="W83" s="661">
        <f>W82/$O$59</f>
        <v>5.887377961428833E-2</v>
      </c>
      <c r="X83" s="661">
        <f>X82/$P$59</f>
        <v>5.5492181082972908E-2</v>
      </c>
      <c r="Y83" s="662">
        <f>Y82/$Q$59</f>
        <v>5.020714605245527E-2</v>
      </c>
      <c r="Z83" s="660">
        <f>Z82/$N$59</f>
        <v>2.1675792173923562E-2</v>
      </c>
      <c r="AA83" s="661">
        <f>AA82/$O$59</f>
        <v>2.8414689031189173E-2</v>
      </c>
      <c r="AB83" s="661">
        <f>AB82/$P$59</f>
        <v>2.4092767790274118E-2</v>
      </c>
      <c r="AC83" s="662">
        <f>AC82/$Q$59</f>
        <v>1.8743707882046108E-2</v>
      </c>
      <c r="AD83" s="706">
        <f>AD82/$N$59</f>
        <v>2.0965611623663307E-2</v>
      </c>
      <c r="AE83" s="707">
        <f>AE82/$O$59</f>
        <v>2.7112095832547159E-2</v>
      </c>
      <c r="AF83" s="707">
        <f>AF82/$P$59</f>
        <v>2.3184728831986159E-2</v>
      </c>
      <c r="AG83" s="708">
        <f>AG82/$Q$59</f>
        <v>1.8271686390628861E-2</v>
      </c>
      <c r="AH83" s="660">
        <f>AH82/$N$59</f>
        <v>2.0255431073403066E-2</v>
      </c>
      <c r="AI83" s="661">
        <f>AI82/$O$59</f>
        <v>2.5809502633905149E-2</v>
      </c>
      <c r="AJ83" s="661">
        <f>AJ82/$P$59</f>
        <v>2.2276689873698217E-2</v>
      </c>
      <c r="AK83" s="662">
        <f>AK82/$Q$59</f>
        <v>1.7799664899211618E-2</v>
      </c>
      <c r="AL83" s="573"/>
      <c r="AN83" s="14"/>
      <c r="AO83" s="14"/>
      <c r="AP83" s="14"/>
      <c r="AQ83" s="14"/>
      <c r="AR83" s="14"/>
      <c r="AS83" s="14"/>
      <c r="AT83" s="14"/>
      <c r="AU83" s="14"/>
      <c r="AV83" s="652"/>
      <c r="AW83" s="629"/>
      <c r="AX83" s="629"/>
      <c r="AY83" s="629"/>
      <c r="AZ83" s="629"/>
      <c r="BA83" s="629"/>
      <c r="BB83" s="629"/>
      <c r="BC83" s="629"/>
      <c r="BD83" s="629"/>
      <c r="BE83" s="629"/>
      <c r="BF83" s="629"/>
      <c r="BG83" s="629"/>
      <c r="BH83" s="629"/>
      <c r="BI83" s="629"/>
      <c r="BJ83" s="629"/>
      <c r="BK83" s="629"/>
      <c r="BL83" s="629"/>
      <c r="BM83" s="629"/>
      <c r="BN83" s="629"/>
      <c r="BO83" s="629"/>
      <c r="BP83" s="629"/>
      <c r="BQ83" s="629"/>
      <c r="BR83" s="629"/>
      <c r="BS83" s="629"/>
      <c r="BT83" s="14"/>
      <c r="BU83" s="14"/>
    </row>
    <row r="84" spans="4:73">
      <c r="D84" s="572"/>
      <c r="E84" s="14"/>
      <c r="F84" s="14"/>
      <c r="G84" s="14"/>
      <c r="H84" s="14"/>
      <c r="I84" s="14"/>
      <c r="J84" s="14"/>
      <c r="K84" s="861"/>
      <c r="L84" s="862"/>
      <c r="M84" s="659"/>
      <c r="N84" s="663"/>
      <c r="O84" s="664"/>
      <c r="P84" s="664"/>
      <c r="Q84" s="665"/>
      <c r="R84" s="663"/>
      <c r="S84" s="664"/>
      <c r="T84" s="664"/>
      <c r="U84" s="665"/>
      <c r="V84" s="663"/>
      <c r="W84" s="664"/>
      <c r="X84" s="664"/>
      <c r="Y84" s="665"/>
      <c r="Z84" s="663"/>
      <c r="AA84" s="664"/>
      <c r="AB84" s="664"/>
      <c r="AC84" s="665"/>
      <c r="AD84" s="663"/>
      <c r="AE84" s="664"/>
      <c r="AF84" s="664"/>
      <c r="AG84" s="665"/>
      <c r="AH84" s="663"/>
      <c r="AI84" s="664"/>
      <c r="AJ84" s="664"/>
      <c r="AK84" s="665"/>
      <c r="AL84" s="573"/>
      <c r="AN84" s="14"/>
      <c r="AO84" s="14"/>
      <c r="AP84" s="14"/>
      <c r="AQ84" s="14"/>
      <c r="AR84" s="14"/>
      <c r="AS84" s="14"/>
      <c r="AT84" s="14"/>
      <c r="AU84" s="14"/>
      <c r="AV84" s="702"/>
      <c r="AW84" s="702"/>
      <c r="AX84" s="702"/>
      <c r="AY84" s="702"/>
      <c r="AZ84" s="702"/>
      <c r="BA84" s="702"/>
      <c r="BB84" s="702"/>
      <c r="BC84" s="702"/>
      <c r="BD84" s="702"/>
      <c r="BE84" s="702"/>
      <c r="BF84" s="702"/>
      <c r="BG84" s="702"/>
      <c r="BH84" s="702"/>
      <c r="BI84" s="702"/>
      <c r="BJ84" s="702"/>
      <c r="BK84" s="702"/>
      <c r="BL84" s="702"/>
      <c r="BM84" s="702"/>
      <c r="BN84" s="702"/>
      <c r="BO84" s="702"/>
      <c r="BP84" s="702"/>
      <c r="BQ84" s="702"/>
      <c r="BR84" s="702"/>
      <c r="BS84" s="702"/>
      <c r="BT84" s="14"/>
      <c r="BU84" s="14"/>
    </row>
    <row r="85" spans="4:73" ht="15" thickBot="1">
      <c r="D85" s="572"/>
      <c r="E85" s="14"/>
      <c r="F85" s="14"/>
      <c r="G85" s="14"/>
      <c r="H85" s="14"/>
      <c r="I85" s="14"/>
      <c r="J85" s="14"/>
      <c r="K85" s="863"/>
      <c r="L85" s="864"/>
      <c r="M85" s="677"/>
      <c r="N85" s="678"/>
      <c r="O85" s="679"/>
      <c r="P85" s="679"/>
      <c r="Q85" s="680"/>
      <c r="R85" s="678"/>
      <c r="S85" s="679"/>
      <c r="T85" s="679"/>
      <c r="U85" s="680"/>
      <c r="V85" s="678"/>
      <c r="W85" s="679"/>
      <c r="X85" s="679"/>
      <c r="Y85" s="680"/>
      <c r="Z85" s="678"/>
      <c r="AA85" s="679"/>
      <c r="AB85" s="679"/>
      <c r="AC85" s="680"/>
      <c r="AD85" s="678"/>
      <c r="AE85" s="679"/>
      <c r="AF85" s="679"/>
      <c r="AG85" s="680"/>
      <c r="AH85" s="678"/>
      <c r="AI85" s="679"/>
      <c r="AJ85" s="679"/>
      <c r="AK85" s="680"/>
      <c r="AL85" s="573"/>
      <c r="AN85" s="14"/>
      <c r="AO85" s="14"/>
      <c r="AP85" s="14"/>
      <c r="AQ85" s="14"/>
      <c r="AR85" s="14"/>
      <c r="AS85" s="14"/>
      <c r="AT85" s="14"/>
      <c r="AU85" s="14"/>
      <c r="AV85" s="652"/>
      <c r="AW85" s="652"/>
      <c r="AX85" s="652"/>
      <c r="AY85" s="652"/>
      <c r="AZ85" s="652"/>
      <c r="BA85" s="652"/>
      <c r="BB85" s="652"/>
      <c r="BC85" s="652"/>
      <c r="BD85" s="652"/>
      <c r="BE85" s="652"/>
      <c r="BF85" s="652"/>
      <c r="BG85" s="652"/>
      <c r="BH85" s="652"/>
      <c r="BI85" s="652"/>
      <c r="BJ85" s="652"/>
      <c r="BK85" s="652"/>
      <c r="BL85" s="652"/>
      <c r="BM85" s="652"/>
      <c r="BN85" s="652"/>
      <c r="BO85" s="652"/>
      <c r="BP85" s="652"/>
      <c r="BQ85" s="652"/>
      <c r="BR85" s="652"/>
      <c r="BS85" s="652"/>
      <c r="BT85" s="14"/>
      <c r="BU85" s="14"/>
    </row>
    <row r="86" spans="4:73" ht="15" thickTop="1">
      <c r="D86" s="572"/>
      <c r="E86" s="14"/>
      <c r="F86" s="14"/>
      <c r="G86" s="14"/>
      <c r="H86" s="14"/>
      <c r="I86" s="14"/>
      <c r="J86" s="14"/>
      <c r="K86" s="14"/>
      <c r="L86" s="14"/>
      <c r="M86" s="14"/>
      <c r="N86" s="628"/>
      <c r="O86" s="628"/>
      <c r="P86" s="628"/>
      <c r="Q86" s="628"/>
      <c r="R86" s="628"/>
      <c r="S86" s="628"/>
      <c r="T86" s="628"/>
      <c r="U86" s="628"/>
      <c r="V86" s="628"/>
      <c r="W86" s="628"/>
      <c r="X86" s="628"/>
      <c r="Y86" s="628"/>
      <c r="Z86" s="628"/>
      <c r="AA86" s="628"/>
      <c r="AB86" s="628"/>
      <c r="AC86" s="628"/>
      <c r="AD86" s="628"/>
      <c r="AE86" s="628"/>
      <c r="AF86" s="628"/>
      <c r="AG86" s="628"/>
      <c r="AH86" s="628"/>
      <c r="AI86" s="628"/>
      <c r="AJ86" s="628"/>
      <c r="AK86" s="628"/>
      <c r="AL86" s="573"/>
      <c r="AN86" s="14"/>
      <c r="AO86" s="14"/>
      <c r="AP86" s="14"/>
      <c r="AQ86" s="14"/>
      <c r="AR86" s="14"/>
      <c r="AS86" s="14"/>
      <c r="AT86" s="14"/>
      <c r="AU86" s="14"/>
      <c r="AV86" s="652"/>
      <c r="AW86" s="629"/>
      <c r="AX86" s="629"/>
      <c r="AY86" s="629"/>
      <c r="AZ86" s="629"/>
      <c r="BA86" s="629"/>
      <c r="BB86" s="629"/>
      <c r="BC86" s="629"/>
      <c r="BD86" s="629"/>
      <c r="BE86" s="629"/>
      <c r="BF86" s="629"/>
      <c r="BG86" s="629"/>
      <c r="BH86" s="629"/>
      <c r="BI86" s="629"/>
      <c r="BJ86" s="629"/>
      <c r="BK86" s="629"/>
      <c r="BL86" s="629"/>
      <c r="BM86" s="629"/>
      <c r="BN86" s="629"/>
      <c r="BO86" s="629"/>
      <c r="BP86" s="629"/>
      <c r="BQ86" s="629"/>
      <c r="BR86" s="629"/>
      <c r="BS86" s="629"/>
      <c r="BT86" s="14"/>
      <c r="BU86" s="14"/>
    </row>
    <row r="87" spans="4:73">
      <c r="D87" s="572"/>
      <c r="E87" s="14"/>
      <c r="F87" s="14"/>
      <c r="G87" s="14"/>
      <c r="H87" s="14"/>
      <c r="I87" s="14"/>
      <c r="J87" s="14"/>
      <c r="K87" s="14"/>
      <c r="L87" s="14"/>
      <c r="M87" s="14"/>
      <c r="N87" s="695">
        <f>N53+1</f>
        <v>8</v>
      </c>
      <c r="O87" s="682">
        <f>N87</f>
        <v>8</v>
      </c>
      <c r="P87" s="682">
        <f t="shared" ref="P87" si="153">O87</f>
        <v>8</v>
      </c>
      <c r="Q87" s="682">
        <f t="shared" ref="Q87" si="154">P87</f>
        <v>8</v>
      </c>
      <c r="R87" s="682">
        <f>N87+3</f>
        <v>11</v>
      </c>
      <c r="S87" s="682">
        <f t="shared" ref="S87" si="155">O87+3</f>
        <v>11</v>
      </c>
      <c r="T87" s="682">
        <f t="shared" ref="T87" si="156">P87+3</f>
        <v>11</v>
      </c>
      <c r="U87" s="682">
        <f t="shared" ref="U87" si="157">Q87+3</f>
        <v>11</v>
      </c>
      <c r="V87" s="682">
        <f t="shared" ref="V87" si="158">R87+3</f>
        <v>14</v>
      </c>
      <c r="W87" s="682">
        <f t="shared" ref="W87" si="159">S87+3</f>
        <v>14</v>
      </c>
      <c r="X87" s="682">
        <f t="shared" ref="X87" si="160">T87+3</f>
        <v>14</v>
      </c>
      <c r="Y87" s="682">
        <f t="shared" ref="Y87" si="161">U87+3</f>
        <v>14</v>
      </c>
      <c r="Z87" s="682">
        <f>N87</f>
        <v>8</v>
      </c>
      <c r="AA87" s="682">
        <f t="shared" ref="AA87" si="162">O87</f>
        <v>8</v>
      </c>
      <c r="AB87" s="682">
        <f t="shared" ref="AB87" si="163">P87</f>
        <v>8</v>
      </c>
      <c r="AC87" s="682">
        <f t="shared" ref="AC87" si="164">Q87</f>
        <v>8</v>
      </c>
      <c r="AD87" s="682">
        <f t="shared" ref="AD87" si="165">R87</f>
        <v>11</v>
      </c>
      <c r="AE87" s="682">
        <f t="shared" ref="AE87" si="166">S87</f>
        <v>11</v>
      </c>
      <c r="AF87" s="682">
        <f t="shared" ref="AF87" si="167">T87</f>
        <v>11</v>
      </c>
      <c r="AG87" s="682">
        <f t="shared" ref="AG87" si="168">U87</f>
        <v>11</v>
      </c>
      <c r="AH87" s="682">
        <f t="shared" ref="AH87:AK87" si="169">V87</f>
        <v>14</v>
      </c>
      <c r="AI87" s="682">
        <f t="shared" si="169"/>
        <v>14</v>
      </c>
      <c r="AJ87" s="682">
        <f t="shared" si="169"/>
        <v>14</v>
      </c>
      <c r="AK87" s="682">
        <f t="shared" si="169"/>
        <v>14</v>
      </c>
      <c r="AL87" s="573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</row>
    <row r="88" spans="4:73" ht="15" thickBot="1">
      <c r="D88" s="577"/>
      <c r="E88" s="578"/>
      <c r="F88" s="578"/>
      <c r="G88" s="578"/>
      <c r="H88" s="578"/>
      <c r="I88" s="578"/>
      <c r="J88" s="578"/>
      <c r="K88" s="578"/>
      <c r="L88" s="578"/>
      <c r="M88" s="578"/>
      <c r="N88" s="578"/>
      <c r="O88" s="578"/>
      <c r="P88" s="578"/>
      <c r="Q88" s="578"/>
      <c r="R88" s="578"/>
      <c r="S88" s="578"/>
      <c r="T88" s="578"/>
      <c r="U88" s="578"/>
      <c r="V88" s="578"/>
      <c r="W88" s="578"/>
      <c r="X88" s="578"/>
      <c r="Y88" s="578"/>
      <c r="Z88" s="578"/>
      <c r="AA88" s="578"/>
      <c r="AB88" s="578"/>
      <c r="AC88" s="578"/>
      <c r="AD88" s="578"/>
      <c r="AE88" s="578"/>
      <c r="AF88" s="578"/>
      <c r="AG88" s="578"/>
      <c r="AH88" s="578"/>
      <c r="AI88" s="578"/>
      <c r="AJ88" s="578"/>
      <c r="AK88" s="578"/>
      <c r="AL88" s="579"/>
    </row>
    <row r="89" spans="4:73" ht="15" thickBot="1"/>
    <row r="90" spans="4:73">
      <c r="D90" s="569"/>
      <c r="E90" s="570"/>
      <c r="F90" s="570"/>
      <c r="G90" s="570"/>
      <c r="H90" s="570"/>
      <c r="I90" s="570"/>
      <c r="J90" s="570"/>
      <c r="K90" s="570"/>
      <c r="L90" s="570"/>
      <c r="M90" s="570"/>
      <c r="N90" s="570"/>
      <c r="O90" s="570"/>
      <c r="P90" s="570"/>
      <c r="Q90" s="570"/>
      <c r="R90" s="570"/>
      <c r="S90" s="570"/>
      <c r="T90" s="570"/>
      <c r="U90" s="570"/>
      <c r="V90" s="570"/>
      <c r="W90" s="570"/>
      <c r="X90" s="570"/>
      <c r="Y90" s="570"/>
      <c r="Z90" s="570"/>
      <c r="AA90" s="570"/>
      <c r="AB90" s="570"/>
      <c r="AC90" s="570"/>
      <c r="AD90" s="570"/>
      <c r="AE90" s="570"/>
      <c r="AF90" s="570"/>
      <c r="AG90" s="570"/>
      <c r="AH90" s="570"/>
      <c r="AI90" s="570"/>
      <c r="AJ90" s="570"/>
      <c r="AK90" s="570"/>
      <c r="AL90" s="571"/>
    </row>
    <row r="91" spans="4:73" ht="18">
      <c r="D91" s="572"/>
      <c r="E91" s="632" t="s">
        <v>432</v>
      </c>
      <c r="F91" s="632"/>
      <c r="G91" s="632"/>
      <c r="H91" s="632"/>
      <c r="I91" s="632"/>
      <c r="J91" s="632"/>
      <c r="K91" s="632"/>
      <c r="L91" s="632"/>
      <c r="M91" s="632"/>
      <c r="N91" s="632"/>
      <c r="O91" s="632"/>
      <c r="P91" s="632"/>
      <c r="Q91" s="632"/>
      <c r="R91" s="632"/>
      <c r="S91" s="632"/>
      <c r="T91" s="632"/>
      <c r="U91" s="632"/>
      <c r="V91" s="632"/>
      <c r="W91" s="632"/>
      <c r="X91" s="632"/>
      <c r="Y91" s="632"/>
      <c r="Z91" s="632"/>
      <c r="AA91" s="632"/>
      <c r="AB91" s="632"/>
      <c r="AC91" s="632"/>
      <c r="AD91" s="632"/>
      <c r="AE91" s="632"/>
      <c r="AF91" s="632"/>
      <c r="AG91" s="632"/>
      <c r="AH91" s="632"/>
      <c r="AI91" s="632"/>
      <c r="AJ91" s="632"/>
      <c r="AK91" s="632"/>
      <c r="AL91" s="573"/>
    </row>
    <row r="92" spans="4:73" ht="15" thickBot="1">
      <c r="D92" s="572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573"/>
    </row>
    <row r="93" spans="4:73" ht="15" thickBot="1">
      <c r="D93" s="572"/>
      <c r="E93" s="14"/>
      <c r="F93" s="14"/>
      <c r="G93" s="14"/>
      <c r="H93" s="14"/>
      <c r="J93" s="11"/>
      <c r="K93" s="11"/>
      <c r="L93" s="12"/>
      <c r="M93" s="581" t="s">
        <v>428</v>
      </c>
      <c r="N93" s="609">
        <f>'SCE Savings'!I11</f>
        <v>18.606430507555032</v>
      </c>
      <c r="O93" s="611">
        <f>'PG&amp;E Savings'!I11</f>
        <v>4.3113148696994541</v>
      </c>
      <c r="P93" s="611">
        <f>'SDG&amp;E Savings'!I11</f>
        <v>17.368684005848372</v>
      </c>
      <c r="Q93" s="613">
        <f>'SCG Savings'!I11</f>
        <v>21.422526754471914</v>
      </c>
      <c r="R93" s="634"/>
      <c r="S93" s="634"/>
      <c r="T93" s="634"/>
      <c r="U93" s="634"/>
      <c r="V93" s="634"/>
      <c r="W93" s="634"/>
      <c r="X93" s="634"/>
      <c r="Y93" s="63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573"/>
    </row>
    <row r="94" spans="4:73">
      <c r="D94" s="572"/>
      <c r="E94" s="14"/>
      <c r="F94" s="14"/>
      <c r="G94" s="14"/>
      <c r="H94" s="14"/>
      <c r="I94" s="14"/>
      <c r="J94" s="14"/>
      <c r="K94" s="14"/>
      <c r="L94" s="14"/>
      <c r="M94" s="14"/>
      <c r="N94" s="574" t="s">
        <v>206</v>
      </c>
      <c r="O94" s="574" t="s">
        <v>206</v>
      </c>
      <c r="P94" s="574" t="s">
        <v>206</v>
      </c>
      <c r="Q94" s="574" t="s">
        <v>206</v>
      </c>
      <c r="R94" s="574" t="s">
        <v>206</v>
      </c>
      <c r="S94" s="574" t="s">
        <v>206</v>
      </c>
      <c r="T94" s="574" t="s">
        <v>206</v>
      </c>
      <c r="U94" s="574" t="s">
        <v>206</v>
      </c>
      <c r="V94" s="574" t="s">
        <v>206</v>
      </c>
      <c r="W94" s="574" t="s">
        <v>206</v>
      </c>
      <c r="X94" s="574" t="s">
        <v>206</v>
      </c>
      <c r="Y94" s="574" t="s">
        <v>206</v>
      </c>
      <c r="Z94" s="574" t="s">
        <v>206</v>
      </c>
      <c r="AA94" s="574" t="s">
        <v>206</v>
      </c>
      <c r="AB94" s="574" t="s">
        <v>206</v>
      </c>
      <c r="AC94" s="574" t="s">
        <v>206</v>
      </c>
      <c r="AD94" s="574" t="s">
        <v>206</v>
      </c>
      <c r="AE94" s="574" t="s">
        <v>206</v>
      </c>
      <c r="AF94" s="574" t="s">
        <v>206</v>
      </c>
      <c r="AG94" s="574" t="s">
        <v>206</v>
      </c>
      <c r="AH94" s="574" t="s">
        <v>206</v>
      </c>
      <c r="AI94" s="574" t="s">
        <v>206</v>
      </c>
      <c r="AJ94" s="574" t="s">
        <v>206</v>
      </c>
      <c r="AK94" s="574" t="s">
        <v>206</v>
      </c>
      <c r="AL94" s="573"/>
    </row>
    <row r="95" spans="4:73">
      <c r="D95" s="572"/>
      <c r="E95" s="14"/>
      <c r="F95" s="14"/>
      <c r="G95" s="14"/>
      <c r="H95" s="14"/>
      <c r="I95" s="14"/>
      <c r="J95" s="14"/>
      <c r="K95" s="575"/>
      <c r="L95" s="575"/>
      <c r="M95" s="575"/>
      <c r="N95" s="574" t="s">
        <v>345</v>
      </c>
      <c r="O95" s="574" t="s">
        <v>345</v>
      </c>
      <c r="P95" s="574" t="s">
        <v>345</v>
      </c>
      <c r="Q95" s="574" t="s">
        <v>345</v>
      </c>
      <c r="R95" s="574" t="s">
        <v>345</v>
      </c>
      <c r="S95" s="574" t="s">
        <v>345</v>
      </c>
      <c r="T95" s="574" t="s">
        <v>345</v>
      </c>
      <c r="U95" s="574" t="s">
        <v>345</v>
      </c>
      <c r="V95" s="574" t="s">
        <v>345</v>
      </c>
      <c r="W95" s="574" t="s">
        <v>345</v>
      </c>
      <c r="X95" s="574" t="s">
        <v>345</v>
      </c>
      <c r="Y95" s="574" t="s">
        <v>345</v>
      </c>
      <c r="Z95" s="574" t="s">
        <v>399</v>
      </c>
      <c r="AA95" s="574" t="s">
        <v>399</v>
      </c>
      <c r="AB95" s="574" t="s">
        <v>399</v>
      </c>
      <c r="AC95" s="574" t="s">
        <v>399</v>
      </c>
      <c r="AD95" s="574" t="s">
        <v>399</v>
      </c>
      <c r="AE95" s="574" t="s">
        <v>399</v>
      </c>
      <c r="AF95" s="574" t="s">
        <v>399</v>
      </c>
      <c r="AG95" s="574" t="s">
        <v>399</v>
      </c>
      <c r="AH95" s="574" t="s">
        <v>399</v>
      </c>
      <c r="AI95" s="574" t="s">
        <v>399</v>
      </c>
      <c r="AJ95" s="574" t="s">
        <v>399</v>
      </c>
      <c r="AK95" s="574" t="s">
        <v>399</v>
      </c>
      <c r="AL95" s="573"/>
    </row>
    <row r="96" spans="4:73">
      <c r="D96" s="572"/>
      <c r="E96" s="14"/>
      <c r="F96" s="14"/>
      <c r="G96" s="14"/>
      <c r="H96" s="14"/>
      <c r="I96" s="14"/>
      <c r="J96" s="14"/>
      <c r="K96" s="657"/>
      <c r="L96" s="638" t="s">
        <v>458</v>
      </c>
      <c r="M96" s="658"/>
      <c r="N96" s="856" t="s">
        <v>454</v>
      </c>
      <c r="O96" s="857"/>
      <c r="P96" s="857"/>
      <c r="Q96" s="858"/>
      <c r="R96" s="856" t="s">
        <v>455</v>
      </c>
      <c r="S96" s="857"/>
      <c r="T96" s="857"/>
      <c r="U96" s="858"/>
      <c r="V96" s="856" t="s">
        <v>456</v>
      </c>
      <c r="W96" s="857"/>
      <c r="X96" s="857"/>
      <c r="Y96" s="858"/>
      <c r="Z96" s="856" t="s">
        <v>454</v>
      </c>
      <c r="AA96" s="857"/>
      <c r="AB96" s="857"/>
      <c r="AC96" s="858"/>
      <c r="AD96" s="856" t="s">
        <v>455</v>
      </c>
      <c r="AE96" s="857"/>
      <c r="AF96" s="857"/>
      <c r="AG96" s="858"/>
      <c r="AH96" s="856" t="s">
        <v>456</v>
      </c>
      <c r="AI96" s="857"/>
      <c r="AJ96" s="857"/>
      <c r="AK96" s="858"/>
      <c r="AL96" s="573"/>
    </row>
    <row r="97" spans="4:73" ht="14.4" customHeight="1">
      <c r="D97" s="572"/>
      <c r="E97" s="867" t="s">
        <v>332</v>
      </c>
      <c r="F97" s="868"/>
      <c r="G97" s="868"/>
      <c r="H97" s="868"/>
      <c r="I97" s="868"/>
      <c r="J97" s="869"/>
      <c r="K97" s="873" t="s">
        <v>469</v>
      </c>
      <c r="L97" s="865" t="s">
        <v>459</v>
      </c>
      <c r="M97" s="866"/>
      <c r="N97" s="853" t="s">
        <v>423</v>
      </c>
      <c r="O97" s="854"/>
      <c r="P97" s="854"/>
      <c r="Q97" s="855"/>
      <c r="R97" s="853" t="s">
        <v>423</v>
      </c>
      <c r="S97" s="854"/>
      <c r="T97" s="854"/>
      <c r="U97" s="855"/>
      <c r="V97" s="853" t="s">
        <v>423</v>
      </c>
      <c r="W97" s="854"/>
      <c r="X97" s="854"/>
      <c r="Y97" s="855"/>
      <c r="Z97" s="853" t="s">
        <v>423</v>
      </c>
      <c r="AA97" s="854"/>
      <c r="AB97" s="854"/>
      <c r="AC97" s="855"/>
      <c r="AD97" s="853" t="s">
        <v>423</v>
      </c>
      <c r="AE97" s="854"/>
      <c r="AF97" s="854"/>
      <c r="AG97" s="855"/>
      <c r="AH97" s="853" t="s">
        <v>423</v>
      </c>
      <c r="AI97" s="854"/>
      <c r="AJ97" s="854"/>
      <c r="AK97" s="855"/>
      <c r="AL97" s="573"/>
    </row>
    <row r="98" spans="4:73">
      <c r="D98" s="572"/>
      <c r="E98" s="870"/>
      <c r="F98" s="871"/>
      <c r="G98" s="871"/>
      <c r="H98" s="871"/>
      <c r="I98" s="871"/>
      <c r="J98" s="872"/>
      <c r="K98" s="874"/>
      <c r="L98" s="637" t="s">
        <v>460</v>
      </c>
      <c r="M98" s="639" t="s">
        <v>461</v>
      </c>
      <c r="N98" s="517" t="s">
        <v>16</v>
      </c>
      <c r="O98" s="555" t="s">
        <v>237</v>
      </c>
      <c r="P98" s="555" t="s">
        <v>395</v>
      </c>
      <c r="Q98" s="507" t="s">
        <v>301</v>
      </c>
      <c r="R98" s="517" t="s">
        <v>16</v>
      </c>
      <c r="S98" s="555" t="s">
        <v>237</v>
      </c>
      <c r="T98" s="555" t="s">
        <v>395</v>
      </c>
      <c r="U98" s="507" t="s">
        <v>301</v>
      </c>
      <c r="V98" s="517" t="s">
        <v>16</v>
      </c>
      <c r="W98" s="555" t="s">
        <v>237</v>
      </c>
      <c r="X98" s="555" t="s">
        <v>395</v>
      </c>
      <c r="Y98" s="507" t="s">
        <v>301</v>
      </c>
      <c r="Z98" s="517" t="s">
        <v>16</v>
      </c>
      <c r="AA98" s="555" t="s">
        <v>237</v>
      </c>
      <c r="AB98" s="555" t="s">
        <v>395</v>
      </c>
      <c r="AC98" s="507" t="s">
        <v>301</v>
      </c>
      <c r="AD98" s="517" t="s">
        <v>16</v>
      </c>
      <c r="AE98" s="555" t="s">
        <v>237</v>
      </c>
      <c r="AF98" s="555" t="s">
        <v>395</v>
      </c>
      <c r="AG98" s="507" t="s">
        <v>301</v>
      </c>
      <c r="AH98" s="517" t="s">
        <v>16</v>
      </c>
      <c r="AI98" s="555" t="s">
        <v>237</v>
      </c>
      <c r="AJ98" s="555" t="s">
        <v>395</v>
      </c>
      <c r="AK98" s="507" t="s">
        <v>301</v>
      </c>
      <c r="AL98" s="573"/>
    </row>
    <row r="99" spans="4:73">
      <c r="D99" s="572"/>
      <c r="E99" s="477" t="s">
        <v>333</v>
      </c>
      <c r="F99" s="478"/>
      <c r="G99" s="478"/>
      <c r="H99" s="478"/>
      <c r="I99" s="478"/>
      <c r="J99" s="479"/>
      <c r="K99" s="531">
        <f>K65</f>
        <v>0</v>
      </c>
      <c r="L99" s="531">
        <f t="shared" ref="L99:M99" si="170">L65</f>
        <v>0</v>
      </c>
      <c r="M99" s="531">
        <f t="shared" si="170"/>
        <v>0</v>
      </c>
      <c r="N99" s="585">
        <f>VLOOKUP(N$30&amp;N$26&amp;N$27,t.ResUESSummary,N$121,FALSE)</f>
        <v>15.536259444654013</v>
      </c>
      <c r="O99" s="586">
        <f>VLOOKUP(O$98&amp;O$94&amp;O$95,t.ResUESSummary,9,FALSE)</f>
        <v>7.4673187574673578</v>
      </c>
      <c r="P99" s="586">
        <f>VLOOKUP(P$98&amp;P$94&amp;P$95,t.ResUESSummary,9,FALSE)</f>
        <v>14.400445704737853</v>
      </c>
      <c r="Q99" s="587">
        <f>VLOOKUP(Q$98&amp;Q$94&amp;Q$95,t.ResUESSummary,9,FALSE)</f>
        <v>17.077523516300506</v>
      </c>
      <c r="R99" s="585">
        <f>VLOOKUP(R$30&amp;R$26&amp;R$27,t.ResUESSummary,R$121,FALSE)</f>
        <v>14.166962002074337</v>
      </c>
      <c r="S99" s="586">
        <f>VLOOKUP(S$98&amp;S$94&amp;S$95,t.ResUESSummary,9,FALSE)</f>
        <v>7.4673187574673578</v>
      </c>
      <c r="T99" s="586">
        <f>VLOOKUP(T$98&amp;T$94&amp;T$95,t.ResUESSummary,9,FALSE)</f>
        <v>14.400445704737853</v>
      </c>
      <c r="U99" s="587">
        <f>VLOOKUP(U$98&amp;U$94&amp;U$95,t.ResUESSummary,9,FALSE)</f>
        <v>17.077523516300506</v>
      </c>
      <c r="V99" s="585">
        <f>VLOOKUP(V$30&amp;V$26&amp;V$27,t.ResUESSummary,V$121,FALSE)</f>
        <v>12.797664559494661</v>
      </c>
      <c r="W99" s="586">
        <f>VLOOKUP(W$98&amp;W$94&amp;W$95,t.ResUESSummary,9,FALSE)</f>
        <v>7.4673187574673578</v>
      </c>
      <c r="X99" s="586">
        <f>VLOOKUP(X$98&amp;X$94&amp;X$95,t.ResUESSummary,9,FALSE)</f>
        <v>14.400445704737853</v>
      </c>
      <c r="Y99" s="587">
        <f>VLOOKUP(Y$98&amp;Y$94&amp;Y$95,t.ResUESSummary,9,FALSE)</f>
        <v>17.077523516300506</v>
      </c>
      <c r="Z99" s="585">
        <f>VLOOKUP(Z$30&amp;Z$26&amp;Z$27,t.ResUESSummary,Z$121,FALSE)</f>
        <v>6.6371347570266304</v>
      </c>
      <c r="AA99" s="586">
        <f>VLOOKUP(AA$98&amp;AA$94&amp;AA$95,t.ResUESSummary,9,FALSE)</f>
        <v>4.0087840835657413</v>
      </c>
      <c r="AB99" s="586">
        <f>VLOOKUP(AB$98&amp;AB$94&amp;AB$95,t.ResUESSummary,9,FALSE)</f>
        <v>6.2419589070483097</v>
      </c>
      <c r="AC99" s="587">
        <f>VLOOKUP(AC$98&amp;AC$94&amp;AC$95,t.ResUESSummary,9,FALSE)</f>
        <v>7.2187464130902494</v>
      </c>
      <c r="AD99" s="585">
        <f>VLOOKUP(AD$30&amp;AD$26&amp;AD$27,t.ResUESSummary,AD$121,FALSE)</f>
        <v>6.0521669479327578</v>
      </c>
      <c r="AE99" s="586">
        <f>VLOOKUP(AE$98&amp;AE$94&amp;AE$95,t.ResUESSummary,9,FALSE)</f>
        <v>4.0087840835657413</v>
      </c>
      <c r="AF99" s="586">
        <f>VLOOKUP(AF$98&amp;AF$94&amp;AF$95,t.ResUESSummary,9,FALSE)</f>
        <v>6.2419589070483097</v>
      </c>
      <c r="AG99" s="587">
        <f>VLOOKUP(AG$98&amp;AG$94&amp;AG$95,t.ResUESSummary,9,FALSE)</f>
        <v>7.2187464130902494</v>
      </c>
      <c r="AH99" s="585">
        <f>VLOOKUP(AH$30&amp;AH$26&amp;AH$27,t.ResUESSummary,AH$121,FALSE)</f>
        <v>5.4671991388388861</v>
      </c>
      <c r="AI99" s="586">
        <f>VLOOKUP(AI$98&amp;AI$94&amp;AI$95,t.ResUESSummary,9,FALSE)</f>
        <v>4.0087840835657413</v>
      </c>
      <c r="AJ99" s="586">
        <f>VLOOKUP(AJ$98&amp;AJ$94&amp;AJ$95,t.ResUESSummary,9,FALSE)</f>
        <v>6.2419589070483097</v>
      </c>
      <c r="AK99" s="587">
        <f>VLOOKUP(AK$98&amp;AK$94&amp;AK$95,t.ResUESSummary,9,FALSE)</f>
        <v>7.2187464130902494</v>
      </c>
      <c r="AL99" s="573"/>
    </row>
    <row r="100" spans="4:73">
      <c r="D100" s="572"/>
      <c r="E100" s="477" t="s">
        <v>334</v>
      </c>
      <c r="F100" s="478"/>
      <c r="G100" s="478"/>
      <c r="H100" s="478"/>
      <c r="I100" s="478"/>
      <c r="J100" s="479"/>
      <c r="K100" s="531">
        <f t="shared" ref="K100:M100" si="171">K66</f>
        <v>0</v>
      </c>
      <c r="L100" s="531">
        <f t="shared" si="171"/>
        <v>0</v>
      </c>
      <c r="M100" s="531">
        <f t="shared" si="171"/>
        <v>0</v>
      </c>
      <c r="N100" s="585">
        <v>0</v>
      </c>
      <c r="O100" s="586">
        <v>0</v>
      </c>
      <c r="P100" s="586">
        <v>0</v>
      </c>
      <c r="Q100" s="587">
        <v>0</v>
      </c>
      <c r="R100" s="585">
        <v>0</v>
      </c>
      <c r="S100" s="586">
        <v>0</v>
      </c>
      <c r="T100" s="586">
        <v>0</v>
      </c>
      <c r="U100" s="587">
        <v>0</v>
      </c>
      <c r="V100" s="585">
        <v>0</v>
      </c>
      <c r="W100" s="586">
        <v>0</v>
      </c>
      <c r="X100" s="586">
        <v>0</v>
      </c>
      <c r="Y100" s="587">
        <v>0</v>
      </c>
      <c r="Z100" s="585">
        <v>0</v>
      </c>
      <c r="AA100" s="586">
        <v>0</v>
      </c>
      <c r="AB100" s="586">
        <v>0</v>
      </c>
      <c r="AC100" s="587">
        <v>0</v>
      </c>
      <c r="AD100" s="585">
        <v>0</v>
      </c>
      <c r="AE100" s="586">
        <v>0</v>
      </c>
      <c r="AF100" s="586">
        <v>0</v>
      </c>
      <c r="AG100" s="587">
        <v>0</v>
      </c>
      <c r="AH100" s="585">
        <v>0</v>
      </c>
      <c r="AI100" s="586">
        <v>0</v>
      </c>
      <c r="AJ100" s="586">
        <v>0</v>
      </c>
      <c r="AK100" s="587">
        <v>0</v>
      </c>
      <c r="AL100" s="573"/>
    </row>
    <row r="101" spans="4:73">
      <c r="D101" s="572"/>
      <c r="E101" s="477" t="s">
        <v>335</v>
      </c>
      <c r="F101" s="478"/>
      <c r="G101" s="478"/>
      <c r="H101" s="478"/>
      <c r="I101" s="478"/>
      <c r="J101" s="479"/>
      <c r="K101" s="531">
        <f t="shared" ref="K101:M101" si="172">K67</f>
        <v>0</v>
      </c>
      <c r="L101" s="531">
        <f t="shared" si="172"/>
        <v>0.16666666666666666</v>
      </c>
      <c r="M101" s="531">
        <f t="shared" si="172"/>
        <v>0.2</v>
      </c>
      <c r="N101" s="585">
        <v>0</v>
      </c>
      <c r="O101" s="586">
        <v>0</v>
      </c>
      <c r="P101" s="586">
        <v>0</v>
      </c>
      <c r="Q101" s="587">
        <v>0</v>
      </c>
      <c r="R101" s="585">
        <v>0</v>
      </c>
      <c r="S101" s="586">
        <v>0</v>
      </c>
      <c r="T101" s="586">
        <v>0</v>
      </c>
      <c r="U101" s="587">
        <v>0</v>
      </c>
      <c r="V101" s="585">
        <v>0</v>
      </c>
      <c r="W101" s="586">
        <v>0</v>
      </c>
      <c r="X101" s="586">
        <v>0</v>
      </c>
      <c r="Y101" s="587">
        <v>0</v>
      </c>
      <c r="Z101" s="585">
        <v>0</v>
      </c>
      <c r="AA101" s="586">
        <v>0</v>
      </c>
      <c r="AB101" s="586">
        <v>0</v>
      </c>
      <c r="AC101" s="587">
        <v>0</v>
      </c>
      <c r="AD101" s="585">
        <v>0</v>
      </c>
      <c r="AE101" s="586">
        <v>0</v>
      </c>
      <c r="AF101" s="586">
        <v>0</v>
      </c>
      <c r="AG101" s="587">
        <v>0</v>
      </c>
      <c r="AH101" s="585">
        <v>0</v>
      </c>
      <c r="AI101" s="586">
        <v>0</v>
      </c>
      <c r="AJ101" s="586">
        <v>0</v>
      </c>
      <c r="AK101" s="587">
        <v>0</v>
      </c>
      <c r="AL101" s="573"/>
    </row>
    <row r="102" spans="4:73">
      <c r="D102" s="572"/>
      <c r="E102" s="477" t="s">
        <v>336</v>
      </c>
      <c r="F102" s="478"/>
      <c r="G102" s="478"/>
      <c r="H102" s="478"/>
      <c r="I102" s="478"/>
      <c r="J102" s="479"/>
      <c r="K102" s="531">
        <f t="shared" ref="K102:M102" si="173">K68</f>
        <v>0</v>
      </c>
      <c r="L102" s="531">
        <f t="shared" si="173"/>
        <v>0.16666666666666666</v>
      </c>
      <c r="M102" s="531">
        <f t="shared" si="173"/>
        <v>0.1</v>
      </c>
      <c r="N102" s="585">
        <f t="shared" ref="N102:AK102" si="174">VLOOKUP(N$30&amp;N$26&amp;N$27,t.ResUESSummary,N$121,FALSE)</f>
        <v>15.536259444654013</v>
      </c>
      <c r="O102" s="586">
        <f t="shared" si="174"/>
        <v>7.4673187574673578</v>
      </c>
      <c r="P102" s="586">
        <f t="shared" si="174"/>
        <v>14.400445704737853</v>
      </c>
      <c r="Q102" s="587">
        <f t="shared" si="174"/>
        <v>17.077523516300506</v>
      </c>
      <c r="R102" s="585">
        <f t="shared" si="174"/>
        <v>14.166962002074337</v>
      </c>
      <c r="S102" s="586">
        <f t="shared" si="174"/>
        <v>6.8091821890126081</v>
      </c>
      <c r="T102" s="586">
        <f t="shared" si="174"/>
        <v>13.131253879913501</v>
      </c>
      <c r="U102" s="587">
        <f t="shared" si="174"/>
        <v>15.572385850457072</v>
      </c>
      <c r="V102" s="585">
        <f t="shared" si="174"/>
        <v>12.797664559494661</v>
      </c>
      <c r="W102" s="586">
        <f t="shared" si="174"/>
        <v>6.1510456205578574</v>
      </c>
      <c r="X102" s="586">
        <f t="shared" si="174"/>
        <v>11.862062055089147</v>
      </c>
      <c r="Y102" s="587">
        <f t="shared" si="174"/>
        <v>14.067248184613637</v>
      </c>
      <c r="Z102" s="585">
        <f t="shared" si="174"/>
        <v>6.6371347570266304</v>
      </c>
      <c r="AA102" s="586">
        <f t="shared" si="174"/>
        <v>4.0087840835657413</v>
      </c>
      <c r="AB102" s="586">
        <f t="shared" si="174"/>
        <v>6.2419589070483097</v>
      </c>
      <c r="AC102" s="587">
        <f t="shared" si="174"/>
        <v>7.2187464130902494</v>
      </c>
      <c r="AD102" s="585">
        <f t="shared" si="174"/>
        <v>6.0521669479327578</v>
      </c>
      <c r="AE102" s="586">
        <f t="shared" si="174"/>
        <v>3.6554675202684219</v>
      </c>
      <c r="AF102" s="586">
        <f t="shared" si="174"/>
        <v>5.6918201559186281</v>
      </c>
      <c r="AG102" s="587">
        <f t="shared" si="174"/>
        <v>6.5825179156653464</v>
      </c>
      <c r="AH102" s="585">
        <f t="shared" si="174"/>
        <v>5.4671991388388861</v>
      </c>
      <c r="AI102" s="586">
        <f t="shared" si="174"/>
        <v>3.3021509569711025</v>
      </c>
      <c r="AJ102" s="586">
        <f t="shared" si="174"/>
        <v>5.1416814047889465</v>
      </c>
      <c r="AK102" s="587">
        <f t="shared" si="174"/>
        <v>5.9462894182404424</v>
      </c>
      <c r="AL102" s="573"/>
    </row>
    <row r="103" spans="4:73" ht="15" customHeight="1">
      <c r="D103" s="572"/>
      <c r="E103" s="875" t="s">
        <v>343</v>
      </c>
      <c r="F103" s="480" t="s">
        <v>337</v>
      </c>
      <c r="G103" s="480"/>
      <c r="H103" s="480"/>
      <c r="I103" s="480"/>
      <c r="J103" s="481"/>
      <c r="K103" s="533">
        <f t="shared" ref="K103:M103" si="175">K69</f>
        <v>0.25</v>
      </c>
      <c r="L103" s="533">
        <f t="shared" si="175"/>
        <v>0.16666666666666666</v>
      </c>
      <c r="M103" s="533">
        <f t="shared" si="175"/>
        <v>0.17</v>
      </c>
      <c r="N103" s="588">
        <v>0</v>
      </c>
      <c r="O103" s="589">
        <v>0</v>
      </c>
      <c r="P103" s="589">
        <v>0</v>
      </c>
      <c r="Q103" s="590">
        <v>0</v>
      </c>
      <c r="R103" s="588">
        <v>0</v>
      </c>
      <c r="S103" s="589">
        <v>0</v>
      </c>
      <c r="T103" s="589">
        <v>0</v>
      </c>
      <c r="U103" s="590">
        <v>0</v>
      </c>
      <c r="V103" s="588">
        <v>0</v>
      </c>
      <c r="W103" s="589">
        <v>0</v>
      </c>
      <c r="X103" s="589">
        <v>0</v>
      </c>
      <c r="Y103" s="590">
        <v>0</v>
      </c>
      <c r="Z103" s="588">
        <v>0</v>
      </c>
      <c r="AA103" s="589">
        <v>0</v>
      </c>
      <c r="AB103" s="589">
        <v>0</v>
      </c>
      <c r="AC103" s="590">
        <v>0</v>
      </c>
      <c r="AD103" s="588">
        <v>0</v>
      </c>
      <c r="AE103" s="589">
        <v>0</v>
      </c>
      <c r="AF103" s="589">
        <v>0</v>
      </c>
      <c r="AG103" s="590">
        <v>0</v>
      </c>
      <c r="AH103" s="588">
        <v>0</v>
      </c>
      <c r="AI103" s="589">
        <v>0</v>
      </c>
      <c r="AJ103" s="589">
        <v>0</v>
      </c>
      <c r="AK103" s="590">
        <v>0</v>
      </c>
      <c r="AL103" s="573"/>
    </row>
    <row r="104" spans="4:73">
      <c r="D104" s="572"/>
      <c r="E104" s="876"/>
      <c r="F104" s="483" t="s">
        <v>338</v>
      </c>
      <c r="G104" s="483"/>
      <c r="H104" s="483"/>
      <c r="I104" s="483"/>
      <c r="J104" s="484"/>
      <c r="K104" s="534">
        <f t="shared" ref="K104:M104" si="176">K70</f>
        <v>0.25</v>
      </c>
      <c r="L104" s="534">
        <f t="shared" si="176"/>
        <v>0.16666666666666666</v>
      </c>
      <c r="M104" s="534">
        <f t="shared" si="176"/>
        <v>0.25</v>
      </c>
      <c r="N104" s="591">
        <f t="shared" ref="N104:AK104" si="177">VLOOKUP(N$30&amp;N$26&amp;N$27,t.ResUESSummary,N$121,FALSE)</f>
        <v>15.536259444654013</v>
      </c>
      <c r="O104" s="592">
        <f t="shared" si="177"/>
        <v>7.4673187574673578</v>
      </c>
      <c r="P104" s="592">
        <f t="shared" si="177"/>
        <v>14.400445704737853</v>
      </c>
      <c r="Q104" s="593">
        <f t="shared" si="177"/>
        <v>17.077523516300506</v>
      </c>
      <c r="R104" s="591">
        <f t="shared" si="177"/>
        <v>14.166962002074337</v>
      </c>
      <c r="S104" s="592">
        <f t="shared" si="177"/>
        <v>6.8091821890126081</v>
      </c>
      <c r="T104" s="592">
        <f t="shared" si="177"/>
        <v>13.131253879913501</v>
      </c>
      <c r="U104" s="593">
        <f t="shared" si="177"/>
        <v>15.572385850457072</v>
      </c>
      <c r="V104" s="591">
        <f t="shared" si="177"/>
        <v>12.797664559494661</v>
      </c>
      <c r="W104" s="592">
        <f t="shared" si="177"/>
        <v>6.1510456205578574</v>
      </c>
      <c r="X104" s="592">
        <f t="shared" si="177"/>
        <v>11.862062055089147</v>
      </c>
      <c r="Y104" s="593">
        <f t="shared" si="177"/>
        <v>14.067248184613637</v>
      </c>
      <c r="Z104" s="591">
        <f t="shared" si="177"/>
        <v>6.6371347570266304</v>
      </c>
      <c r="AA104" s="592">
        <f t="shared" si="177"/>
        <v>4.0087840835657413</v>
      </c>
      <c r="AB104" s="592">
        <f t="shared" si="177"/>
        <v>6.2419589070483097</v>
      </c>
      <c r="AC104" s="593">
        <f t="shared" si="177"/>
        <v>7.2187464130902494</v>
      </c>
      <c r="AD104" s="591">
        <f t="shared" si="177"/>
        <v>6.0521669479327578</v>
      </c>
      <c r="AE104" s="592">
        <f t="shared" si="177"/>
        <v>3.6554675202684219</v>
      </c>
      <c r="AF104" s="592">
        <f t="shared" si="177"/>
        <v>5.6918201559186281</v>
      </c>
      <c r="AG104" s="593">
        <f t="shared" si="177"/>
        <v>6.5825179156653464</v>
      </c>
      <c r="AH104" s="591">
        <f t="shared" si="177"/>
        <v>5.4671991388388861</v>
      </c>
      <c r="AI104" s="592">
        <f t="shared" si="177"/>
        <v>3.3021509569711025</v>
      </c>
      <c r="AJ104" s="592">
        <f t="shared" si="177"/>
        <v>5.1416814047889465</v>
      </c>
      <c r="AK104" s="593">
        <f t="shared" si="177"/>
        <v>5.9462894182404424</v>
      </c>
      <c r="AL104" s="573"/>
    </row>
    <row r="105" spans="4:73">
      <c r="D105" s="572"/>
      <c r="E105" s="876"/>
      <c r="F105" s="878" t="s">
        <v>339</v>
      </c>
      <c r="G105" s="878"/>
      <c r="H105" s="482" t="s">
        <v>422</v>
      </c>
      <c r="I105" s="483"/>
      <c r="J105" s="484"/>
      <c r="K105" s="534">
        <f t="shared" ref="K105:M105" si="178">K71</f>
        <v>0</v>
      </c>
      <c r="L105" s="534">
        <f t="shared" si="178"/>
        <v>0.125</v>
      </c>
      <c r="M105" s="534">
        <f t="shared" si="178"/>
        <v>0.04</v>
      </c>
      <c r="N105" s="591">
        <v>0</v>
      </c>
      <c r="O105" s="592">
        <v>0</v>
      </c>
      <c r="P105" s="592">
        <v>0</v>
      </c>
      <c r="Q105" s="593">
        <v>0</v>
      </c>
      <c r="R105" s="591">
        <v>0</v>
      </c>
      <c r="S105" s="592">
        <v>0</v>
      </c>
      <c r="T105" s="592">
        <v>0</v>
      </c>
      <c r="U105" s="593">
        <v>0</v>
      </c>
      <c r="V105" s="591">
        <v>0</v>
      </c>
      <c r="W105" s="592">
        <v>0</v>
      </c>
      <c r="X105" s="592">
        <v>0</v>
      </c>
      <c r="Y105" s="593">
        <v>0</v>
      </c>
      <c r="Z105" s="591">
        <v>0</v>
      </c>
      <c r="AA105" s="592">
        <v>0</v>
      </c>
      <c r="AB105" s="592">
        <v>0</v>
      </c>
      <c r="AC105" s="593">
        <v>0</v>
      </c>
      <c r="AD105" s="591">
        <v>0</v>
      </c>
      <c r="AE105" s="592">
        <v>0</v>
      </c>
      <c r="AF105" s="592">
        <v>0</v>
      </c>
      <c r="AG105" s="593">
        <v>0</v>
      </c>
      <c r="AH105" s="591">
        <v>0</v>
      </c>
      <c r="AI105" s="592">
        <v>0</v>
      </c>
      <c r="AJ105" s="592">
        <v>0</v>
      </c>
      <c r="AK105" s="593">
        <v>0</v>
      </c>
      <c r="AL105" s="573"/>
    </row>
    <row r="106" spans="4:73">
      <c r="D106" s="572"/>
      <c r="E106" s="877"/>
      <c r="F106" s="878"/>
      <c r="G106" s="878"/>
      <c r="H106" s="485" t="s">
        <v>340</v>
      </c>
      <c r="I106" s="486"/>
      <c r="J106" s="487"/>
      <c r="K106" s="535">
        <f t="shared" ref="K106:M106" si="179">K72</f>
        <v>0.5</v>
      </c>
      <c r="L106" s="535">
        <f t="shared" si="179"/>
        <v>4.1666666666666664E-2</v>
      </c>
      <c r="M106" s="535">
        <f t="shared" si="179"/>
        <v>4.1666666666666664E-2</v>
      </c>
      <c r="N106" s="594">
        <f t="shared" ref="N106:AK106" si="180">VLOOKUP(N$98&amp;N$94&amp;"NoRepl",t.ResUESSummary,N$121,FALSE)</f>
        <v>35.695204036184265</v>
      </c>
      <c r="O106" s="595">
        <f t="shared" si="180"/>
        <v>20.821012517424585</v>
      </c>
      <c r="P106" s="595">
        <f t="shared" si="180"/>
        <v>34.109847741733198</v>
      </c>
      <c r="Q106" s="596">
        <f t="shared" si="180"/>
        <v>39.071889785661618</v>
      </c>
      <c r="R106" s="594">
        <f t="shared" si="180"/>
        <v>32.549186053334125</v>
      </c>
      <c r="S106" s="595">
        <f t="shared" si="180"/>
        <v>18.985940227753265</v>
      </c>
      <c r="T106" s="595">
        <f t="shared" si="180"/>
        <v>31.103556076360103</v>
      </c>
      <c r="U106" s="596">
        <f t="shared" si="180"/>
        <v>35.628265601162624</v>
      </c>
      <c r="V106" s="594">
        <f t="shared" si="180"/>
        <v>29.403168070483986</v>
      </c>
      <c r="W106" s="595">
        <f t="shared" si="180"/>
        <v>17.150867938081948</v>
      </c>
      <c r="X106" s="595">
        <f t="shared" si="180"/>
        <v>28.097264410987005</v>
      </c>
      <c r="Y106" s="596">
        <f t="shared" si="180"/>
        <v>32.184641416663638</v>
      </c>
      <c r="Z106" s="594">
        <f t="shared" si="180"/>
        <v>35.695204036184265</v>
      </c>
      <c r="AA106" s="595">
        <f t="shared" si="180"/>
        <v>20.821012517424585</v>
      </c>
      <c r="AB106" s="595">
        <f t="shared" si="180"/>
        <v>34.109847741733198</v>
      </c>
      <c r="AC106" s="596">
        <f t="shared" si="180"/>
        <v>39.071889785661618</v>
      </c>
      <c r="AD106" s="594">
        <f t="shared" si="180"/>
        <v>32.549186053334125</v>
      </c>
      <c r="AE106" s="595">
        <f t="shared" si="180"/>
        <v>18.985940227753265</v>
      </c>
      <c r="AF106" s="595">
        <f t="shared" si="180"/>
        <v>31.103556076360103</v>
      </c>
      <c r="AG106" s="596">
        <f t="shared" si="180"/>
        <v>35.628265601162624</v>
      </c>
      <c r="AH106" s="594">
        <f t="shared" si="180"/>
        <v>29.403168070483986</v>
      </c>
      <c r="AI106" s="595">
        <f t="shared" si="180"/>
        <v>17.150867938081948</v>
      </c>
      <c r="AJ106" s="595">
        <f t="shared" si="180"/>
        <v>28.097264410987005</v>
      </c>
      <c r="AK106" s="596">
        <f t="shared" si="180"/>
        <v>32.184641416663638</v>
      </c>
      <c r="AL106" s="573"/>
    </row>
    <row r="107" spans="4:73" ht="15" thickBot="1">
      <c r="D107" s="572"/>
      <c r="E107" s="666" t="s">
        <v>346</v>
      </c>
      <c r="F107" s="667"/>
      <c r="G107" s="667"/>
      <c r="H107" s="667"/>
      <c r="I107" s="667"/>
      <c r="J107" s="668"/>
      <c r="K107" s="669">
        <f t="shared" ref="K107:M107" si="181">K73</f>
        <v>0</v>
      </c>
      <c r="L107" s="669">
        <f t="shared" si="181"/>
        <v>0.16666666666666666</v>
      </c>
      <c r="M107" s="669">
        <f t="shared" si="181"/>
        <v>0.2</v>
      </c>
      <c r="N107" s="683">
        <v>0</v>
      </c>
      <c r="O107" s="684">
        <v>0</v>
      </c>
      <c r="P107" s="684">
        <v>0</v>
      </c>
      <c r="Q107" s="685">
        <v>0</v>
      </c>
      <c r="R107" s="683">
        <v>0</v>
      </c>
      <c r="S107" s="684">
        <v>0</v>
      </c>
      <c r="T107" s="684">
        <v>0</v>
      </c>
      <c r="U107" s="685">
        <v>0</v>
      </c>
      <c r="V107" s="683">
        <v>0</v>
      </c>
      <c r="W107" s="684">
        <v>0</v>
      </c>
      <c r="X107" s="684">
        <v>0</v>
      </c>
      <c r="Y107" s="685">
        <v>0</v>
      </c>
      <c r="Z107" s="683">
        <v>0</v>
      </c>
      <c r="AA107" s="684">
        <v>0</v>
      </c>
      <c r="AB107" s="684">
        <v>0</v>
      </c>
      <c r="AC107" s="685">
        <v>0</v>
      </c>
      <c r="AD107" s="683">
        <v>0</v>
      </c>
      <c r="AE107" s="684">
        <v>0</v>
      </c>
      <c r="AF107" s="684">
        <v>0</v>
      </c>
      <c r="AG107" s="685">
        <v>0</v>
      </c>
      <c r="AH107" s="683">
        <v>0</v>
      </c>
      <c r="AI107" s="684">
        <v>0</v>
      </c>
      <c r="AJ107" s="684">
        <v>0</v>
      </c>
      <c r="AK107" s="685">
        <v>0</v>
      </c>
      <c r="AL107" s="573"/>
    </row>
    <row r="108" spans="4:73" ht="15" customHeight="1" thickTop="1">
      <c r="D108" s="572"/>
      <c r="E108" s="14"/>
      <c r="F108" s="14"/>
      <c r="G108" s="14"/>
      <c r="H108" s="14"/>
      <c r="I108" s="14"/>
      <c r="J108" s="14"/>
      <c r="K108" s="859" t="s">
        <v>463</v>
      </c>
      <c r="L108" s="860"/>
      <c r="M108" s="673" t="s">
        <v>464</v>
      </c>
      <c r="N108" s="689">
        <f t="shared" ref="N108:AK108" si="182">SUMPRODUCT($K$99:$K$107,N99:N107)</f>
        <v>21.731666879255634</v>
      </c>
      <c r="O108" s="690">
        <f t="shared" si="182"/>
        <v>12.277335948079132</v>
      </c>
      <c r="P108" s="690">
        <f t="shared" si="182"/>
        <v>20.655035297051061</v>
      </c>
      <c r="Q108" s="691">
        <f t="shared" si="182"/>
        <v>23.805325771905935</v>
      </c>
      <c r="R108" s="689">
        <f t="shared" si="182"/>
        <v>19.816333527185648</v>
      </c>
      <c r="S108" s="690">
        <f t="shared" si="182"/>
        <v>11.195265661129785</v>
      </c>
      <c r="T108" s="690">
        <f t="shared" si="182"/>
        <v>18.834591508158425</v>
      </c>
      <c r="U108" s="691">
        <f t="shared" si="182"/>
        <v>21.707229263195579</v>
      </c>
      <c r="V108" s="689">
        <f t="shared" si="182"/>
        <v>17.901000175115659</v>
      </c>
      <c r="W108" s="690">
        <f t="shared" si="182"/>
        <v>10.113195374180439</v>
      </c>
      <c r="X108" s="690">
        <f t="shared" si="182"/>
        <v>17.01414771926579</v>
      </c>
      <c r="Y108" s="691">
        <f t="shared" si="182"/>
        <v>19.609132754485227</v>
      </c>
      <c r="Z108" s="689">
        <f t="shared" si="182"/>
        <v>19.50688570734879</v>
      </c>
      <c r="AA108" s="690">
        <f t="shared" si="182"/>
        <v>11.412702279603728</v>
      </c>
      <c r="AB108" s="690">
        <f t="shared" si="182"/>
        <v>18.615413597628677</v>
      </c>
      <c r="AC108" s="691">
        <f t="shared" si="182"/>
        <v>21.34063149610337</v>
      </c>
      <c r="AD108" s="689">
        <f t="shared" si="182"/>
        <v>17.787634763650253</v>
      </c>
      <c r="AE108" s="690">
        <f t="shared" si="182"/>
        <v>10.406836993943738</v>
      </c>
      <c r="AF108" s="690">
        <f t="shared" si="182"/>
        <v>16.974733077159708</v>
      </c>
      <c r="AG108" s="691">
        <f t="shared" si="182"/>
        <v>19.459762279497649</v>
      </c>
      <c r="AH108" s="689">
        <f t="shared" si="182"/>
        <v>16.068383819951713</v>
      </c>
      <c r="AI108" s="690">
        <f t="shared" si="182"/>
        <v>9.4009717082837501</v>
      </c>
      <c r="AJ108" s="690">
        <f t="shared" si="182"/>
        <v>15.33405255669074</v>
      </c>
      <c r="AK108" s="691">
        <f t="shared" si="182"/>
        <v>17.578893062891929</v>
      </c>
      <c r="AL108" s="573"/>
    </row>
    <row r="109" spans="4:73">
      <c r="D109" s="572"/>
      <c r="E109" s="14"/>
      <c r="F109" s="14"/>
      <c r="G109" s="14"/>
      <c r="H109" s="14"/>
      <c r="I109" s="14"/>
      <c r="J109" s="14"/>
      <c r="K109" s="861"/>
      <c r="L109" s="862"/>
      <c r="M109" s="659" t="s">
        <v>465</v>
      </c>
      <c r="N109" s="660">
        <f>N108/$N$93</f>
        <v>1.1679653908057013</v>
      </c>
      <c r="O109" s="661">
        <f>O108/$O$93</f>
        <v>2.8477010654837644</v>
      </c>
      <c r="P109" s="661">
        <f>P108/$P$93</f>
        <v>1.1892113006429337</v>
      </c>
      <c r="Q109" s="662">
        <f>Q108/$Q$93</f>
        <v>1.1112286633945556</v>
      </c>
      <c r="R109" s="660">
        <f>R108/$N$93</f>
        <v>1.0650260682262158</v>
      </c>
      <c r="S109" s="661">
        <f>S108/$O$93</f>
        <v>2.5967172427631615</v>
      </c>
      <c r="T109" s="661">
        <f>T108/$P$93</f>
        <v>1.0843994571964377</v>
      </c>
      <c r="U109" s="662">
        <f>U108/$Q$93</f>
        <v>1.013289865942832</v>
      </c>
      <c r="V109" s="660">
        <f>V108/$N$93</f>
        <v>0.96208674564673013</v>
      </c>
      <c r="W109" s="661">
        <f>W108/$O$93</f>
        <v>2.3457334200425586</v>
      </c>
      <c r="X109" s="661">
        <f>X108/$P$93</f>
        <v>0.97958761374994197</v>
      </c>
      <c r="Y109" s="662">
        <f>Y108/$Q$93</f>
        <v>0.91535106849110859</v>
      </c>
      <c r="Z109" s="660">
        <f>Z108/$N$93</f>
        <v>1.0483948385171531</v>
      </c>
      <c r="AA109" s="661">
        <f>AA108/$O$93</f>
        <v>2.6471511881013039</v>
      </c>
      <c r="AB109" s="661">
        <f>AB108/$P$93</f>
        <v>1.071780314004245</v>
      </c>
      <c r="AC109" s="662">
        <f>AC108/$Q$93</f>
        <v>0.99617714290628911</v>
      </c>
      <c r="AD109" s="660">
        <f>AD108/$N$93</f>
        <v>0.95599393749530237</v>
      </c>
      <c r="AE109" s="661">
        <f>AE108/$O$93</f>
        <v>2.4138429477940702</v>
      </c>
      <c r="AF109" s="661">
        <f>AF108/$P$93</f>
        <v>0.97731832022759968</v>
      </c>
      <c r="AG109" s="662">
        <f>AG108/$Q$93</f>
        <v>0.90837847946370098</v>
      </c>
      <c r="AH109" s="660">
        <f>AH108/$N$93</f>
        <v>0.86359303647345143</v>
      </c>
      <c r="AI109" s="661">
        <f>AI108/$O$93</f>
        <v>2.1805347074868369</v>
      </c>
      <c r="AJ109" s="661">
        <f>AJ108/$P$93</f>
        <v>0.88285632645095435</v>
      </c>
      <c r="AK109" s="662">
        <f>AK108/$Q$93</f>
        <v>0.82057981602111274</v>
      </c>
      <c r="AL109" s="573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</row>
    <row r="110" spans="4:73">
      <c r="D110" s="572"/>
      <c r="E110" s="14"/>
      <c r="F110" s="14"/>
      <c r="G110" s="14"/>
      <c r="H110" s="14"/>
      <c r="I110" s="14"/>
      <c r="J110" s="14"/>
      <c r="K110" s="861"/>
      <c r="L110" s="862"/>
      <c r="M110" s="659"/>
      <c r="N110" s="663"/>
      <c r="O110" s="664"/>
      <c r="P110" s="664"/>
      <c r="Q110" s="665"/>
      <c r="R110" s="663"/>
      <c r="S110" s="664"/>
      <c r="T110" s="664"/>
      <c r="U110" s="665"/>
      <c r="V110" s="663"/>
      <c r="W110" s="664"/>
      <c r="X110" s="664"/>
      <c r="Y110" s="665"/>
      <c r="Z110" s="663"/>
      <c r="AA110" s="664"/>
      <c r="AB110" s="664"/>
      <c r="AC110" s="665"/>
      <c r="AD110" s="663"/>
      <c r="AE110" s="664"/>
      <c r="AF110" s="664"/>
      <c r="AG110" s="665"/>
      <c r="AH110" s="663"/>
      <c r="AI110" s="664"/>
      <c r="AJ110" s="664"/>
      <c r="AK110" s="665"/>
      <c r="AL110" s="573"/>
      <c r="AN110" s="14"/>
      <c r="AO110" s="14"/>
      <c r="AP110" s="14"/>
      <c r="AQ110" s="14"/>
      <c r="AR110" s="14"/>
      <c r="AS110" s="14"/>
      <c r="AT110" s="14"/>
      <c r="AU110" s="14"/>
      <c r="AV110" s="702"/>
      <c r="AW110" s="702"/>
      <c r="AX110" s="702"/>
      <c r="AY110" s="702"/>
      <c r="AZ110" s="702"/>
      <c r="BA110" s="702"/>
      <c r="BB110" s="702"/>
      <c r="BC110" s="702"/>
      <c r="BD110" s="702"/>
      <c r="BE110" s="702"/>
      <c r="BF110" s="702"/>
      <c r="BG110" s="702"/>
      <c r="BH110" s="702"/>
      <c r="BI110" s="702"/>
      <c r="BJ110" s="702"/>
      <c r="BK110" s="702"/>
      <c r="BL110" s="702"/>
      <c r="BM110" s="702"/>
      <c r="BN110" s="702"/>
      <c r="BO110" s="702"/>
      <c r="BP110" s="702"/>
      <c r="BQ110" s="702"/>
      <c r="BR110" s="702"/>
      <c r="BS110" s="702"/>
      <c r="BT110" s="14"/>
      <c r="BU110" s="14"/>
    </row>
    <row r="111" spans="4:73" ht="15" thickBot="1">
      <c r="D111" s="572"/>
      <c r="E111" s="14"/>
      <c r="F111" s="14"/>
      <c r="G111" s="14"/>
      <c r="H111" s="14"/>
      <c r="I111" s="14"/>
      <c r="J111" s="14"/>
      <c r="K111" s="863"/>
      <c r="L111" s="864"/>
      <c r="M111" s="677"/>
      <c r="N111" s="678"/>
      <c r="O111" s="679"/>
      <c r="P111" s="679"/>
      <c r="Q111" s="680"/>
      <c r="R111" s="678"/>
      <c r="S111" s="679"/>
      <c r="T111" s="679"/>
      <c r="U111" s="680"/>
      <c r="V111" s="678"/>
      <c r="W111" s="679"/>
      <c r="X111" s="679"/>
      <c r="Y111" s="680"/>
      <c r="Z111" s="678"/>
      <c r="AA111" s="679"/>
      <c r="AB111" s="679"/>
      <c r="AC111" s="680"/>
      <c r="AD111" s="678"/>
      <c r="AE111" s="679"/>
      <c r="AF111" s="679"/>
      <c r="AG111" s="680"/>
      <c r="AH111" s="678"/>
      <c r="AI111" s="679"/>
      <c r="AJ111" s="679"/>
      <c r="AK111" s="680"/>
      <c r="AL111" s="573"/>
      <c r="AN111" s="14"/>
      <c r="AO111" s="14"/>
      <c r="AP111" s="14"/>
      <c r="AQ111" s="14"/>
      <c r="AR111" s="14"/>
      <c r="AS111" s="14"/>
      <c r="AT111" s="14"/>
      <c r="AU111" s="14"/>
      <c r="AV111" s="652"/>
      <c r="AW111" s="652"/>
      <c r="AX111" s="652"/>
      <c r="AY111" s="652"/>
      <c r="AZ111" s="652"/>
      <c r="BA111" s="652"/>
      <c r="BB111" s="652"/>
      <c r="BC111" s="652"/>
      <c r="BD111" s="652"/>
      <c r="BE111" s="652"/>
      <c r="BF111" s="652"/>
      <c r="BG111" s="652"/>
      <c r="BH111" s="652"/>
      <c r="BI111" s="652"/>
      <c r="BJ111" s="652"/>
      <c r="BK111" s="652"/>
      <c r="BL111" s="652"/>
      <c r="BM111" s="652"/>
      <c r="BN111" s="652"/>
      <c r="BO111" s="652"/>
      <c r="BP111" s="652"/>
      <c r="BQ111" s="652"/>
      <c r="BR111" s="652"/>
      <c r="BS111" s="652"/>
      <c r="BT111" s="14"/>
      <c r="BU111" s="14"/>
    </row>
    <row r="112" spans="4:73" ht="15.75" customHeight="1" thickTop="1">
      <c r="D112" s="572"/>
      <c r="E112" s="14"/>
      <c r="F112" s="14"/>
      <c r="G112" s="14"/>
      <c r="H112" s="14"/>
      <c r="I112" s="14"/>
      <c r="J112" s="14"/>
      <c r="K112" s="859" t="s">
        <v>467</v>
      </c>
      <c r="L112" s="860"/>
      <c r="M112" s="673" t="s">
        <v>464</v>
      </c>
      <c r="N112" s="689">
        <f t="shared" ref="N112:AK112" si="183">SUMPRODUCT($L$99:$L$107,N99:N107)</f>
        <v>6.6660533163923477</v>
      </c>
      <c r="O112" s="690">
        <f t="shared" si="183"/>
        <v>3.3566484407151433</v>
      </c>
      <c r="P112" s="690">
        <f t="shared" si="183"/>
        <v>6.2213922241515007</v>
      </c>
      <c r="Q112" s="691">
        <f t="shared" si="183"/>
        <v>7.3205032465027351</v>
      </c>
      <c r="R112" s="689">
        <f t="shared" si="183"/>
        <v>6.0785367529137</v>
      </c>
      <c r="S112" s="690">
        <f t="shared" si="183"/>
        <v>3.0608082391605884</v>
      </c>
      <c r="T112" s="690">
        <f t="shared" si="183"/>
        <v>5.673066129819504</v>
      </c>
      <c r="U112" s="691">
        <f t="shared" si="183"/>
        <v>6.6753063502007999</v>
      </c>
      <c r="V112" s="689">
        <f t="shared" si="183"/>
        <v>5.4910201894350523</v>
      </c>
      <c r="W112" s="690">
        <f t="shared" si="183"/>
        <v>2.7649680376060335</v>
      </c>
      <c r="X112" s="690">
        <f t="shared" si="183"/>
        <v>5.1247400354875072</v>
      </c>
      <c r="Y112" s="691">
        <f t="shared" si="183"/>
        <v>6.0301094538988638</v>
      </c>
      <c r="Z112" s="689">
        <f t="shared" si="183"/>
        <v>3.6996784205165545</v>
      </c>
      <c r="AA112" s="690">
        <f t="shared" si="183"/>
        <v>2.2038035494146047</v>
      </c>
      <c r="AB112" s="690">
        <f t="shared" si="183"/>
        <v>3.501896624921653</v>
      </c>
      <c r="AC112" s="691">
        <f t="shared" si="183"/>
        <v>4.0342442120993169</v>
      </c>
      <c r="AD112" s="689">
        <f t="shared" si="183"/>
        <v>3.3736050681998409</v>
      </c>
      <c r="AE112" s="690">
        <f t="shared" si="183"/>
        <v>2.0095700162458598</v>
      </c>
      <c r="AF112" s="690">
        <f t="shared" si="183"/>
        <v>3.1932548884878802</v>
      </c>
      <c r="AG112" s="691">
        <f t="shared" si="183"/>
        <v>3.6786837052702248</v>
      </c>
      <c r="AH112" s="689">
        <f t="shared" si="183"/>
        <v>3.0475317158831281</v>
      </c>
      <c r="AI112" s="690">
        <f t="shared" si="183"/>
        <v>1.815336483077115</v>
      </c>
      <c r="AJ112" s="690">
        <f t="shared" si="183"/>
        <v>2.884613152054107</v>
      </c>
      <c r="AK112" s="691">
        <f t="shared" si="183"/>
        <v>3.3231231984411322</v>
      </c>
      <c r="AL112" s="573"/>
      <c r="AN112" s="14"/>
      <c r="AO112" s="14"/>
      <c r="AP112" s="14"/>
      <c r="AQ112" s="14"/>
      <c r="AR112" s="14"/>
      <c r="AS112" s="14"/>
      <c r="AT112" s="14"/>
      <c r="AU112" s="14"/>
      <c r="AV112" s="652"/>
      <c r="AW112" s="629"/>
      <c r="AX112" s="629"/>
      <c r="AY112" s="629"/>
      <c r="AZ112" s="629"/>
      <c r="BA112" s="629"/>
      <c r="BB112" s="629"/>
      <c r="BC112" s="629"/>
      <c r="BD112" s="629"/>
      <c r="BE112" s="629"/>
      <c r="BF112" s="629"/>
      <c r="BG112" s="629"/>
      <c r="BH112" s="629"/>
      <c r="BI112" s="629"/>
      <c r="BJ112" s="629"/>
      <c r="BK112" s="629"/>
      <c r="BL112" s="629"/>
      <c r="BM112" s="629"/>
      <c r="BN112" s="629"/>
      <c r="BO112" s="629"/>
      <c r="BP112" s="629"/>
      <c r="BQ112" s="629"/>
      <c r="BR112" s="629"/>
      <c r="BS112" s="629"/>
      <c r="BT112" s="14"/>
      <c r="BU112" s="14"/>
    </row>
    <row r="113" spans="4:73">
      <c r="D113" s="572"/>
      <c r="E113" s="14"/>
      <c r="F113" s="14"/>
      <c r="G113" s="14"/>
      <c r="H113" s="14"/>
      <c r="I113" s="14"/>
      <c r="J113" s="14"/>
      <c r="K113" s="861"/>
      <c r="L113" s="862"/>
      <c r="M113" s="659" t="s">
        <v>465</v>
      </c>
      <c r="N113" s="660">
        <f>N112/$N$93</f>
        <v>0.35826610126459429</v>
      </c>
      <c r="O113" s="661">
        <f>O112/$O$93</f>
        <v>0.77856722187148875</v>
      </c>
      <c r="P113" s="661">
        <f>P112/$P$93</f>
        <v>0.35819594749128014</v>
      </c>
      <c r="Q113" s="662">
        <f>Q112/$Q$93</f>
        <v>0.34171987881749727</v>
      </c>
      <c r="R113" s="660">
        <f>R112/$N$93</f>
        <v>0.32669010589890124</v>
      </c>
      <c r="S113" s="661">
        <f>S112/$O$93</f>
        <v>0.70994773790993382</v>
      </c>
      <c r="T113" s="661">
        <f>T112/$P$93</f>
        <v>0.32662613517001476</v>
      </c>
      <c r="U113" s="662">
        <f>U112/$Q$93</f>
        <v>0.3116021945827348</v>
      </c>
      <c r="V113" s="660">
        <f>V112/$N$93</f>
        <v>0.29511411053320818</v>
      </c>
      <c r="W113" s="661">
        <f>W112/$O$93</f>
        <v>0.64132825394837889</v>
      </c>
      <c r="X113" s="661">
        <f>X112/$P$93</f>
        <v>0.29505632284874939</v>
      </c>
      <c r="Y113" s="662">
        <f>Y112/$Q$93</f>
        <v>0.28148451034797234</v>
      </c>
      <c r="Z113" s="660">
        <f>Z112/$N$93</f>
        <v>0.19883869821319686</v>
      </c>
      <c r="AA113" s="661">
        <f>AA112/$O$93</f>
        <v>0.51116738536154138</v>
      </c>
      <c r="AB113" s="661">
        <f>AB112/$P$93</f>
        <v>0.20162129863969525</v>
      </c>
      <c r="AC113" s="662">
        <f>AC112/$Q$93</f>
        <v>0.18831785149980854</v>
      </c>
      <c r="AD113" s="660">
        <f>AD112/$N$93</f>
        <v>0.18131393159101677</v>
      </c>
      <c r="AE113" s="661">
        <f>AE112/$O$93</f>
        <v>0.46611534461781234</v>
      </c>
      <c r="AF113" s="661">
        <f>AF112/$P$93</f>
        <v>0.18385128587823057</v>
      </c>
      <c r="AG113" s="662">
        <f>AG112/$Q$93</f>
        <v>0.17172034594389321</v>
      </c>
      <c r="AH113" s="660">
        <f>AH112/$N$93</f>
        <v>0.16378916496883675</v>
      </c>
      <c r="AI113" s="661">
        <f>AI112/$O$93</f>
        <v>0.42106330387408331</v>
      </c>
      <c r="AJ113" s="661">
        <f>AJ112/$P$93</f>
        <v>0.16608127311676588</v>
      </c>
      <c r="AK113" s="662">
        <f>AK112/$Q$93</f>
        <v>0.15512284038797786</v>
      </c>
      <c r="AL113" s="573"/>
      <c r="AN113" s="14"/>
      <c r="AO113" s="14"/>
      <c r="AP113" s="14"/>
      <c r="AQ113" s="14"/>
      <c r="AR113" s="14"/>
      <c r="AS113" s="14"/>
      <c r="AT113" s="14"/>
      <c r="AU113" s="14"/>
      <c r="AV113" s="702"/>
      <c r="AW113" s="629"/>
      <c r="AX113" s="629"/>
      <c r="AY113" s="629"/>
      <c r="AZ113" s="629"/>
      <c r="BA113" s="629"/>
      <c r="BB113" s="629"/>
      <c r="BC113" s="629"/>
      <c r="BD113" s="629"/>
      <c r="BE113" s="629"/>
      <c r="BF113" s="629"/>
      <c r="BG113" s="629"/>
      <c r="BH113" s="629"/>
      <c r="BI113" s="629"/>
      <c r="BJ113" s="629"/>
      <c r="BK113" s="629"/>
      <c r="BL113" s="629"/>
      <c r="BM113" s="629"/>
      <c r="BN113" s="629"/>
      <c r="BO113" s="629"/>
      <c r="BP113" s="629"/>
      <c r="BQ113" s="629"/>
      <c r="BR113" s="629"/>
      <c r="BS113" s="629"/>
      <c r="BT113" s="14"/>
      <c r="BU113" s="14"/>
    </row>
    <row r="114" spans="4:73">
      <c r="D114" s="572"/>
      <c r="E114" s="14"/>
      <c r="F114" s="14"/>
      <c r="G114" s="14"/>
      <c r="H114" s="14"/>
      <c r="I114" s="14"/>
      <c r="J114" s="14"/>
      <c r="K114" s="861"/>
      <c r="L114" s="862"/>
      <c r="M114" s="659"/>
      <c r="N114" s="663"/>
      <c r="O114" s="664"/>
      <c r="P114" s="664"/>
      <c r="Q114" s="665"/>
      <c r="R114" s="663"/>
      <c r="S114" s="664"/>
      <c r="T114" s="664"/>
      <c r="U114" s="665"/>
      <c r="V114" s="663"/>
      <c r="W114" s="664"/>
      <c r="X114" s="664"/>
      <c r="Y114" s="665"/>
      <c r="Z114" s="663"/>
      <c r="AA114" s="664"/>
      <c r="AB114" s="664"/>
      <c r="AC114" s="665"/>
      <c r="AD114" s="663"/>
      <c r="AE114" s="664"/>
      <c r="AF114" s="664"/>
      <c r="AG114" s="665"/>
      <c r="AH114" s="663"/>
      <c r="AI114" s="664"/>
      <c r="AJ114" s="664"/>
      <c r="AK114" s="665"/>
      <c r="AL114" s="573"/>
      <c r="AN114" s="14"/>
      <c r="AO114" s="14"/>
      <c r="AP114" s="14"/>
      <c r="AQ114" s="14"/>
      <c r="AR114" s="14"/>
      <c r="AS114" s="14"/>
      <c r="AT114" s="14"/>
      <c r="AU114" s="14"/>
      <c r="AV114" s="702"/>
      <c r="AW114" s="702"/>
      <c r="AX114" s="702"/>
      <c r="AY114" s="702"/>
      <c r="AZ114" s="702"/>
      <c r="BA114" s="702"/>
      <c r="BB114" s="702"/>
      <c r="BC114" s="702"/>
      <c r="BD114" s="702"/>
      <c r="BE114" s="702"/>
      <c r="BF114" s="702"/>
      <c r="BG114" s="702"/>
      <c r="BH114" s="702"/>
      <c r="BI114" s="702"/>
      <c r="BJ114" s="702"/>
      <c r="BK114" s="702"/>
      <c r="BL114" s="702"/>
      <c r="BM114" s="702"/>
      <c r="BN114" s="702"/>
      <c r="BO114" s="702"/>
      <c r="BP114" s="702"/>
      <c r="BQ114" s="702"/>
      <c r="BR114" s="702"/>
      <c r="BS114" s="702"/>
      <c r="BT114" s="14"/>
      <c r="BU114" s="14"/>
    </row>
    <row r="115" spans="4:73" ht="15" thickBot="1">
      <c r="D115" s="572"/>
      <c r="E115" s="14"/>
      <c r="F115" s="14"/>
      <c r="G115" s="14"/>
      <c r="H115" s="14"/>
      <c r="I115" s="14"/>
      <c r="J115" s="14"/>
      <c r="K115" s="863"/>
      <c r="L115" s="864"/>
      <c r="M115" s="677"/>
      <c r="N115" s="678"/>
      <c r="O115" s="679"/>
      <c r="P115" s="679"/>
      <c r="Q115" s="680"/>
      <c r="R115" s="678"/>
      <c r="S115" s="679"/>
      <c r="T115" s="679"/>
      <c r="U115" s="680"/>
      <c r="V115" s="678"/>
      <c r="W115" s="679"/>
      <c r="X115" s="679"/>
      <c r="Y115" s="680"/>
      <c r="Z115" s="678"/>
      <c r="AA115" s="679"/>
      <c r="AB115" s="679"/>
      <c r="AC115" s="680"/>
      <c r="AD115" s="678"/>
      <c r="AE115" s="679"/>
      <c r="AF115" s="679"/>
      <c r="AG115" s="680"/>
      <c r="AH115" s="678"/>
      <c r="AI115" s="679"/>
      <c r="AJ115" s="679"/>
      <c r="AK115" s="680"/>
      <c r="AL115" s="573"/>
      <c r="AN115" s="14"/>
      <c r="AO115" s="14"/>
      <c r="AP115" s="14"/>
      <c r="AQ115" s="14"/>
      <c r="AR115" s="14"/>
      <c r="AS115" s="14"/>
      <c r="AT115" s="14"/>
      <c r="AU115" s="14"/>
      <c r="AV115" s="652"/>
      <c r="AW115" s="652"/>
      <c r="AX115" s="652"/>
      <c r="AY115" s="652"/>
      <c r="AZ115" s="652"/>
      <c r="BA115" s="652"/>
      <c r="BB115" s="652"/>
      <c r="BC115" s="652"/>
      <c r="BD115" s="652"/>
      <c r="BE115" s="652"/>
      <c r="BF115" s="652"/>
      <c r="BG115" s="652"/>
      <c r="BH115" s="652"/>
      <c r="BI115" s="652"/>
      <c r="BJ115" s="652"/>
      <c r="BK115" s="652"/>
      <c r="BL115" s="652"/>
      <c r="BM115" s="652"/>
      <c r="BN115" s="652"/>
      <c r="BO115" s="652"/>
      <c r="BP115" s="652"/>
      <c r="BQ115" s="652"/>
      <c r="BR115" s="652"/>
      <c r="BS115" s="652"/>
      <c r="BT115" s="14"/>
      <c r="BU115" s="14"/>
    </row>
    <row r="116" spans="4:73" ht="15.75" customHeight="1" thickTop="1">
      <c r="D116" s="572"/>
      <c r="E116" s="14"/>
      <c r="F116" s="14"/>
      <c r="G116" s="14"/>
      <c r="H116" s="14"/>
      <c r="I116" s="14"/>
      <c r="J116" s="14"/>
      <c r="K116" s="859" t="s">
        <v>468</v>
      </c>
      <c r="L116" s="860"/>
      <c r="M116" s="673" t="s">
        <v>464</v>
      </c>
      <c r="N116" s="689">
        <f t="shared" ref="N116:AK116" si="184">SUMPRODUCT($M$99:$M$107,N99:N107)</f>
        <v>6.924990973803248</v>
      </c>
      <c r="O116" s="690">
        <f t="shared" si="184"/>
        <v>3.4811037533395996</v>
      </c>
      <c r="P116" s="690">
        <f t="shared" si="184"/>
        <v>6.4613996525637987</v>
      </c>
      <c r="Q116" s="691">
        <f t="shared" si="184"/>
        <v>7.6051286384410774</v>
      </c>
      <c r="R116" s="689">
        <f t="shared" si="184"/>
        <v>6.3146527862816066</v>
      </c>
      <c r="S116" s="690">
        <f t="shared" si="184"/>
        <v>3.1742946089774655</v>
      </c>
      <c r="T116" s="690">
        <f t="shared" si="184"/>
        <v>5.8919203611513966</v>
      </c>
      <c r="U116" s="691">
        <f t="shared" si="184"/>
        <v>6.9348461143750848</v>
      </c>
      <c r="V116" s="689">
        <f t="shared" si="184"/>
        <v>5.7043145987599635</v>
      </c>
      <c r="W116" s="690">
        <f t="shared" si="184"/>
        <v>2.8674854646153314</v>
      </c>
      <c r="X116" s="690">
        <f t="shared" si="184"/>
        <v>5.3224410697389937</v>
      </c>
      <c r="Y116" s="691">
        <f t="shared" si="184"/>
        <v>6.2645635903090913</v>
      </c>
      <c r="Z116" s="689">
        <f t="shared" si="184"/>
        <v>3.8102973331336649</v>
      </c>
      <c r="AA116" s="690">
        <f t="shared" si="184"/>
        <v>2.2706166174740341</v>
      </c>
      <c r="AB116" s="690">
        <f t="shared" si="184"/>
        <v>3.6059292733724586</v>
      </c>
      <c r="AC116" s="691">
        <f t="shared" si="184"/>
        <v>4.1545566523174884</v>
      </c>
      <c r="AD116" s="720">
        <f t="shared" si="184"/>
        <v>3.4744745173320535</v>
      </c>
      <c r="AE116" s="721">
        <f t="shared" si="184"/>
        <v>2.0704944749170004</v>
      </c>
      <c r="AF116" s="721">
        <f t="shared" si="184"/>
        <v>3.2881185577531906</v>
      </c>
      <c r="AG116" s="722">
        <f t="shared" si="184"/>
        <v>3.7883923371979806</v>
      </c>
      <c r="AH116" s="689">
        <f t="shared" si="184"/>
        <v>3.1386517015304429</v>
      </c>
      <c r="AI116" s="690">
        <f t="shared" si="184"/>
        <v>1.8703723323599668</v>
      </c>
      <c r="AJ116" s="690">
        <f t="shared" si="184"/>
        <v>2.9703078421339231</v>
      </c>
      <c r="AK116" s="691">
        <f t="shared" si="184"/>
        <v>3.4222280220784729</v>
      </c>
      <c r="AL116" s="573"/>
      <c r="AN116" s="14"/>
      <c r="AO116" s="14"/>
      <c r="AP116" s="14"/>
      <c r="AQ116" s="14"/>
      <c r="AR116" s="14"/>
      <c r="AS116" s="14"/>
      <c r="AT116" s="14"/>
      <c r="AU116" s="14"/>
      <c r="AV116" s="652"/>
      <c r="AW116" s="629"/>
      <c r="AX116" s="629"/>
      <c r="AY116" s="629"/>
      <c r="AZ116" s="629"/>
      <c r="BA116" s="629"/>
      <c r="BB116" s="629"/>
      <c r="BC116" s="629"/>
      <c r="BD116" s="629"/>
      <c r="BE116" s="629"/>
      <c r="BF116" s="629"/>
      <c r="BG116" s="629"/>
      <c r="BH116" s="629"/>
      <c r="BI116" s="629"/>
      <c r="BJ116" s="629"/>
      <c r="BK116" s="629"/>
      <c r="BL116" s="629"/>
      <c r="BM116" s="629"/>
      <c r="BN116" s="629"/>
      <c r="BO116" s="629"/>
      <c r="BP116" s="629"/>
      <c r="BQ116" s="629"/>
      <c r="BR116" s="629"/>
      <c r="BS116" s="629"/>
      <c r="BT116" s="14"/>
      <c r="BU116" s="14"/>
    </row>
    <row r="117" spans="4:73">
      <c r="D117" s="572"/>
      <c r="E117" s="14"/>
      <c r="F117" s="14"/>
      <c r="G117" s="14"/>
      <c r="H117" s="14"/>
      <c r="I117" s="14"/>
      <c r="J117" s="14"/>
      <c r="K117" s="861"/>
      <c r="L117" s="862"/>
      <c r="M117" s="659" t="s">
        <v>465</v>
      </c>
      <c r="N117" s="660">
        <f>N116/$N$93</f>
        <v>0.3721826693729029</v>
      </c>
      <c r="O117" s="661">
        <f>O116/$O$93</f>
        <v>0.80743435785804041</v>
      </c>
      <c r="P117" s="661">
        <f>P116/$P$93</f>
        <v>0.37201434779906872</v>
      </c>
      <c r="Q117" s="662">
        <f>Q116/$Q$93</f>
        <v>0.35500614496156579</v>
      </c>
      <c r="R117" s="660">
        <f>R116/$N$93</f>
        <v>0.33938012902139286</v>
      </c>
      <c r="S117" s="661">
        <f>S116/$O$93</f>
        <v>0.73627065174173856</v>
      </c>
      <c r="T117" s="661">
        <f>T116/$P$93</f>
        <v>0.33922664256932034</v>
      </c>
      <c r="U117" s="662">
        <f>U116/$Q$93</f>
        <v>0.32371746777851257</v>
      </c>
      <c r="V117" s="660">
        <f>V116/$N$93</f>
        <v>0.30657758866988272</v>
      </c>
      <c r="W117" s="661">
        <f>W116/$O$93</f>
        <v>0.66510694562543671</v>
      </c>
      <c r="X117" s="661">
        <f>X116/$P$93</f>
        <v>0.30643893733957189</v>
      </c>
      <c r="Y117" s="662">
        <f>Y116/$Q$93</f>
        <v>0.29242879059545929</v>
      </c>
      <c r="Z117" s="660">
        <f>Z116/$N$93</f>
        <v>0.20478389616893558</v>
      </c>
      <c r="AA117" s="661">
        <f>AA116/$O$93</f>
        <v>0.52666452952259568</v>
      </c>
      <c r="AB117" s="661">
        <f>AB116/$P$93</f>
        <v>0.2076109665049046</v>
      </c>
      <c r="AC117" s="662">
        <f>AC116/$Q$93</f>
        <v>0.19393401627799262</v>
      </c>
      <c r="AD117" s="706">
        <f>AD116/$N$93</f>
        <v>0.18673514599811411</v>
      </c>
      <c r="AE117" s="707">
        <f>AE116/$O$93</f>
        <v>0.480246638785011</v>
      </c>
      <c r="AF117" s="707">
        <f>AF116/$P$93</f>
        <v>0.18931305081294689</v>
      </c>
      <c r="AG117" s="708">
        <f>AG116/$Q$93</f>
        <v>0.17684152670772885</v>
      </c>
      <c r="AH117" s="660">
        <f>AH116/$N$93</f>
        <v>0.1686863958272927</v>
      </c>
      <c r="AI117" s="661">
        <f>AI116/$O$93</f>
        <v>0.43382874804742627</v>
      </c>
      <c r="AJ117" s="661">
        <f>AJ116/$P$93</f>
        <v>0.17101513512098918</v>
      </c>
      <c r="AK117" s="662">
        <f>AK116/$Q$93</f>
        <v>0.15974903713746508</v>
      </c>
      <c r="AL117" s="573"/>
      <c r="AN117" s="14"/>
      <c r="AO117" s="14"/>
      <c r="AP117" s="14"/>
      <c r="AQ117" s="14"/>
      <c r="AR117" s="14"/>
      <c r="AS117" s="14"/>
      <c r="AT117" s="14"/>
      <c r="AU117" s="14"/>
      <c r="AV117" s="652"/>
      <c r="AW117" s="629"/>
      <c r="AX117" s="629"/>
      <c r="AY117" s="629"/>
      <c r="AZ117" s="629"/>
      <c r="BA117" s="629"/>
      <c r="BB117" s="629"/>
      <c r="BC117" s="629"/>
      <c r="BD117" s="629"/>
      <c r="BE117" s="629"/>
      <c r="BF117" s="629"/>
      <c r="BG117" s="629"/>
      <c r="BH117" s="629"/>
      <c r="BI117" s="629"/>
      <c r="BJ117" s="629"/>
      <c r="BK117" s="629"/>
      <c r="BL117" s="629"/>
      <c r="BM117" s="629"/>
      <c r="BN117" s="629"/>
      <c r="BO117" s="629"/>
      <c r="BP117" s="629"/>
      <c r="BQ117" s="629"/>
      <c r="BR117" s="629"/>
      <c r="BS117" s="629"/>
      <c r="BT117" s="14"/>
      <c r="BU117" s="14"/>
    </row>
    <row r="118" spans="4:73">
      <c r="D118" s="572"/>
      <c r="E118" s="14"/>
      <c r="F118" s="14"/>
      <c r="G118" s="14"/>
      <c r="H118" s="14"/>
      <c r="I118" s="14"/>
      <c r="J118" s="14"/>
      <c r="K118" s="861"/>
      <c r="L118" s="862"/>
      <c r="M118" s="659"/>
      <c r="N118" s="663"/>
      <c r="O118" s="664"/>
      <c r="P118" s="664"/>
      <c r="Q118" s="665"/>
      <c r="R118" s="663"/>
      <c r="S118" s="664"/>
      <c r="T118" s="664"/>
      <c r="U118" s="665"/>
      <c r="V118" s="663"/>
      <c r="W118" s="664"/>
      <c r="X118" s="664"/>
      <c r="Y118" s="665"/>
      <c r="Z118" s="663"/>
      <c r="AA118" s="664"/>
      <c r="AB118" s="664"/>
      <c r="AC118" s="665"/>
      <c r="AD118" s="663"/>
      <c r="AE118" s="664"/>
      <c r="AF118" s="664"/>
      <c r="AG118" s="665"/>
      <c r="AH118" s="663"/>
      <c r="AI118" s="664"/>
      <c r="AJ118" s="664"/>
      <c r="AK118" s="665"/>
      <c r="AL118" s="573"/>
      <c r="AN118" s="14"/>
      <c r="AO118" s="14"/>
      <c r="AP118" s="14"/>
      <c r="AQ118" s="14"/>
      <c r="AR118" s="14"/>
      <c r="AS118" s="14"/>
      <c r="AT118" s="14"/>
      <c r="AU118" s="14"/>
      <c r="AV118" s="702"/>
      <c r="AW118" s="702"/>
      <c r="AX118" s="702"/>
      <c r="AY118" s="702"/>
      <c r="AZ118" s="702"/>
      <c r="BA118" s="702"/>
      <c r="BB118" s="702"/>
      <c r="BC118" s="702"/>
      <c r="BD118" s="702"/>
      <c r="BE118" s="702"/>
      <c r="BF118" s="702"/>
      <c r="BG118" s="702"/>
      <c r="BH118" s="702"/>
      <c r="BI118" s="702"/>
      <c r="BJ118" s="702"/>
      <c r="BK118" s="702"/>
      <c r="BL118" s="702"/>
      <c r="BM118" s="702"/>
      <c r="BN118" s="702"/>
      <c r="BO118" s="702"/>
      <c r="BP118" s="702"/>
      <c r="BQ118" s="702"/>
      <c r="BR118" s="702"/>
      <c r="BS118" s="702"/>
      <c r="BT118" s="14"/>
      <c r="BU118" s="14"/>
    </row>
    <row r="119" spans="4:73" ht="15" thickBot="1">
      <c r="D119" s="572"/>
      <c r="E119" s="14"/>
      <c r="F119" s="14"/>
      <c r="G119" s="14"/>
      <c r="H119" s="14"/>
      <c r="I119" s="14"/>
      <c r="J119" s="14"/>
      <c r="K119" s="863"/>
      <c r="L119" s="864"/>
      <c r="M119" s="677"/>
      <c r="N119" s="678"/>
      <c r="O119" s="679"/>
      <c r="P119" s="679"/>
      <c r="Q119" s="680"/>
      <c r="R119" s="678"/>
      <c r="S119" s="679"/>
      <c r="T119" s="679"/>
      <c r="U119" s="680"/>
      <c r="V119" s="678"/>
      <c r="W119" s="679"/>
      <c r="X119" s="679"/>
      <c r="Y119" s="680"/>
      <c r="Z119" s="678"/>
      <c r="AA119" s="679"/>
      <c r="AB119" s="679"/>
      <c r="AC119" s="680"/>
      <c r="AD119" s="678"/>
      <c r="AE119" s="679"/>
      <c r="AF119" s="679"/>
      <c r="AG119" s="680"/>
      <c r="AH119" s="678"/>
      <c r="AI119" s="679"/>
      <c r="AJ119" s="679"/>
      <c r="AK119" s="680"/>
      <c r="AL119" s="573"/>
      <c r="AN119" s="14"/>
      <c r="AO119" s="14"/>
      <c r="AP119" s="14"/>
      <c r="AQ119" s="14"/>
      <c r="AR119" s="14"/>
      <c r="AS119" s="14"/>
      <c r="AT119" s="14"/>
      <c r="AU119" s="14"/>
      <c r="AV119" s="652"/>
      <c r="AW119" s="652"/>
      <c r="AX119" s="652"/>
      <c r="AY119" s="652"/>
      <c r="AZ119" s="652"/>
      <c r="BA119" s="652"/>
      <c r="BB119" s="652"/>
      <c r="BC119" s="652"/>
      <c r="BD119" s="652"/>
      <c r="BE119" s="652"/>
      <c r="BF119" s="652"/>
      <c r="BG119" s="652"/>
      <c r="BH119" s="652"/>
      <c r="BI119" s="652"/>
      <c r="BJ119" s="652"/>
      <c r="BK119" s="652"/>
      <c r="BL119" s="652"/>
      <c r="BM119" s="652"/>
      <c r="BN119" s="652"/>
      <c r="BO119" s="652"/>
      <c r="BP119" s="652"/>
      <c r="BQ119" s="652"/>
      <c r="BR119" s="652"/>
      <c r="BS119" s="652"/>
      <c r="BT119" s="14"/>
      <c r="BU119" s="14"/>
    </row>
    <row r="120" spans="4:73" ht="15" thickTop="1">
      <c r="D120" s="572"/>
      <c r="E120" s="14"/>
      <c r="F120" s="14"/>
      <c r="G120" s="14"/>
      <c r="H120" s="14"/>
      <c r="I120" s="14"/>
      <c r="J120" s="14"/>
      <c r="K120" s="14"/>
      <c r="L120" s="14"/>
      <c r="M120" s="14"/>
      <c r="N120" s="628"/>
      <c r="O120" s="628"/>
      <c r="P120" s="628"/>
      <c r="Q120" s="628"/>
      <c r="R120" s="628"/>
      <c r="S120" s="628"/>
      <c r="T120" s="628"/>
      <c r="U120" s="628"/>
      <c r="V120" s="628"/>
      <c r="W120" s="628"/>
      <c r="X120" s="628"/>
      <c r="Y120" s="628"/>
      <c r="Z120" s="628"/>
      <c r="AA120" s="628"/>
      <c r="AB120" s="628"/>
      <c r="AC120" s="628"/>
      <c r="AD120" s="628"/>
      <c r="AE120" s="628"/>
      <c r="AF120" s="628"/>
      <c r="AG120" s="628"/>
      <c r="AH120" s="628"/>
      <c r="AI120" s="628"/>
      <c r="AJ120" s="628"/>
      <c r="AK120" s="628"/>
      <c r="AL120" s="573"/>
      <c r="AN120" s="14"/>
      <c r="AO120" s="14"/>
      <c r="AP120" s="14"/>
      <c r="AQ120" s="14"/>
      <c r="AR120" s="14"/>
      <c r="AS120" s="14"/>
      <c r="AT120" s="14"/>
      <c r="AU120" s="14"/>
      <c r="AV120" s="652"/>
      <c r="AW120" s="629"/>
      <c r="AX120" s="629"/>
      <c r="AY120" s="629"/>
      <c r="AZ120" s="629"/>
      <c r="BA120" s="629"/>
      <c r="BB120" s="629"/>
      <c r="BC120" s="629"/>
      <c r="BD120" s="629"/>
      <c r="BE120" s="629"/>
      <c r="BF120" s="629"/>
      <c r="BG120" s="629"/>
      <c r="BH120" s="629"/>
      <c r="BI120" s="629"/>
      <c r="BJ120" s="629"/>
      <c r="BK120" s="629"/>
      <c r="BL120" s="629"/>
      <c r="BM120" s="629"/>
      <c r="BN120" s="629"/>
      <c r="BO120" s="629"/>
      <c r="BP120" s="629"/>
      <c r="BQ120" s="629"/>
      <c r="BR120" s="629"/>
      <c r="BS120" s="629"/>
      <c r="BT120" s="14"/>
      <c r="BU120" s="14"/>
    </row>
    <row r="121" spans="4:73">
      <c r="D121" s="572"/>
      <c r="E121" s="14"/>
      <c r="F121" s="14"/>
      <c r="G121" s="14"/>
      <c r="H121" s="14"/>
      <c r="I121" s="14"/>
      <c r="J121" s="14"/>
      <c r="K121" s="14"/>
      <c r="L121" s="14"/>
      <c r="M121" s="14"/>
      <c r="N121" s="695">
        <f>N87+1</f>
        <v>9</v>
      </c>
      <c r="O121" s="682">
        <f>N121</f>
        <v>9</v>
      </c>
      <c r="P121" s="682">
        <f t="shared" ref="P121" si="185">O121</f>
        <v>9</v>
      </c>
      <c r="Q121" s="682">
        <f t="shared" ref="Q121" si="186">P121</f>
        <v>9</v>
      </c>
      <c r="R121" s="682">
        <f>N121+3</f>
        <v>12</v>
      </c>
      <c r="S121" s="682">
        <f t="shared" ref="S121" si="187">O121+3</f>
        <v>12</v>
      </c>
      <c r="T121" s="682">
        <f t="shared" ref="T121" si="188">P121+3</f>
        <v>12</v>
      </c>
      <c r="U121" s="682">
        <f t="shared" ref="U121" si="189">Q121+3</f>
        <v>12</v>
      </c>
      <c r="V121" s="682">
        <f t="shared" ref="V121" si="190">R121+3</f>
        <v>15</v>
      </c>
      <c r="W121" s="682">
        <f t="shared" ref="W121" si="191">S121+3</f>
        <v>15</v>
      </c>
      <c r="X121" s="682">
        <f t="shared" ref="X121" si="192">T121+3</f>
        <v>15</v>
      </c>
      <c r="Y121" s="682">
        <f t="shared" ref="Y121" si="193">U121+3</f>
        <v>15</v>
      </c>
      <c r="Z121" s="682">
        <f>N121</f>
        <v>9</v>
      </c>
      <c r="AA121" s="682">
        <f t="shared" ref="AA121" si="194">O121</f>
        <v>9</v>
      </c>
      <c r="AB121" s="682">
        <f t="shared" ref="AB121" si="195">P121</f>
        <v>9</v>
      </c>
      <c r="AC121" s="682">
        <f t="shared" ref="AC121" si="196">Q121</f>
        <v>9</v>
      </c>
      <c r="AD121" s="682">
        <f t="shared" ref="AD121" si="197">R121</f>
        <v>12</v>
      </c>
      <c r="AE121" s="682">
        <f t="shared" ref="AE121" si="198">S121</f>
        <v>12</v>
      </c>
      <c r="AF121" s="682">
        <f t="shared" ref="AF121" si="199">T121</f>
        <v>12</v>
      </c>
      <c r="AG121" s="682">
        <f t="shared" ref="AG121" si="200">U121</f>
        <v>12</v>
      </c>
      <c r="AH121" s="682">
        <f t="shared" ref="AH121:AK121" si="201">V121</f>
        <v>15</v>
      </c>
      <c r="AI121" s="682">
        <f t="shared" si="201"/>
        <v>15</v>
      </c>
      <c r="AJ121" s="682">
        <f t="shared" si="201"/>
        <v>15</v>
      </c>
      <c r="AK121" s="682">
        <f t="shared" si="201"/>
        <v>15</v>
      </c>
      <c r="AL121" s="573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</row>
    <row r="122" spans="4:73" ht="15" thickBot="1">
      <c r="D122" s="577"/>
      <c r="E122" s="578"/>
      <c r="F122" s="578"/>
      <c r="G122" s="578"/>
      <c r="H122" s="578"/>
      <c r="I122" s="578"/>
      <c r="J122" s="578"/>
      <c r="K122" s="578"/>
      <c r="L122" s="578"/>
      <c r="M122" s="578"/>
      <c r="N122" s="578"/>
      <c r="O122" s="578"/>
      <c r="P122" s="578"/>
      <c r="Q122" s="578"/>
      <c r="R122" s="578"/>
      <c r="S122" s="578"/>
      <c r="T122" s="578"/>
      <c r="U122" s="578"/>
      <c r="V122" s="578"/>
      <c r="W122" s="578"/>
      <c r="X122" s="578"/>
      <c r="Y122" s="578"/>
      <c r="Z122" s="578"/>
      <c r="AA122" s="578"/>
      <c r="AB122" s="578"/>
      <c r="AC122" s="578"/>
      <c r="AD122" s="578"/>
      <c r="AE122" s="578"/>
      <c r="AF122" s="578"/>
      <c r="AG122" s="578"/>
      <c r="AH122" s="578"/>
      <c r="AI122" s="578"/>
      <c r="AJ122" s="578"/>
      <c r="AK122" s="578"/>
      <c r="AL122" s="579"/>
    </row>
  </sheetData>
  <mergeCells count="76">
    <mergeCell ref="N28:Q28"/>
    <mergeCell ref="V28:Y28"/>
    <mergeCell ref="Z28:AC28"/>
    <mergeCell ref="AH28:AK28"/>
    <mergeCell ref="R28:U28"/>
    <mergeCell ref="AD28:AG28"/>
    <mergeCell ref="AD97:AG97"/>
    <mergeCell ref="AH97:AK97"/>
    <mergeCell ref="AV28:AY28"/>
    <mergeCell ref="AZ28:BC28"/>
    <mergeCell ref="BD28:BG28"/>
    <mergeCell ref="AD29:AG29"/>
    <mergeCell ref="AD62:AG62"/>
    <mergeCell ref="AH62:AK62"/>
    <mergeCell ref="AH96:AK96"/>
    <mergeCell ref="AO35:AO38"/>
    <mergeCell ref="AP37:AQ38"/>
    <mergeCell ref="AH63:AK63"/>
    <mergeCell ref="AO29:AT30"/>
    <mergeCell ref="AU29:AU30"/>
    <mergeCell ref="AV29:AY29"/>
    <mergeCell ref="AZ29:BC29"/>
    <mergeCell ref="BL28:BO28"/>
    <mergeCell ref="BP28:BS28"/>
    <mergeCell ref="BH29:BK29"/>
    <mergeCell ref="BL29:BO29"/>
    <mergeCell ref="BP29:BS29"/>
    <mergeCell ref="BH28:BK28"/>
    <mergeCell ref="N96:Q96"/>
    <mergeCell ref="R96:U96"/>
    <mergeCell ref="V96:Y96"/>
    <mergeCell ref="Z96:AC96"/>
    <mergeCell ref="AD96:AG96"/>
    <mergeCell ref="E29:J30"/>
    <mergeCell ref="K29:K30"/>
    <mergeCell ref="E35:E38"/>
    <mergeCell ref="F37:G38"/>
    <mergeCell ref="N29:Q29"/>
    <mergeCell ref="L29:M29"/>
    <mergeCell ref="F71:G72"/>
    <mergeCell ref="Z63:AC63"/>
    <mergeCell ref="R63:U63"/>
    <mergeCell ref="V63:Y63"/>
    <mergeCell ref="AD63:AG63"/>
    <mergeCell ref="E63:J64"/>
    <mergeCell ref="K63:K64"/>
    <mergeCell ref="N63:Q63"/>
    <mergeCell ref="E69:E72"/>
    <mergeCell ref="L63:M63"/>
    <mergeCell ref="E97:J98"/>
    <mergeCell ref="K97:K98"/>
    <mergeCell ref="N97:Q97"/>
    <mergeCell ref="Z97:AC97"/>
    <mergeCell ref="E103:E106"/>
    <mergeCell ref="F105:G106"/>
    <mergeCell ref="R97:U97"/>
    <mergeCell ref="V97:Y97"/>
    <mergeCell ref="K40:L43"/>
    <mergeCell ref="K112:L115"/>
    <mergeCell ref="K116:L119"/>
    <mergeCell ref="K78:L81"/>
    <mergeCell ref="K82:L85"/>
    <mergeCell ref="K74:L77"/>
    <mergeCell ref="L97:M97"/>
    <mergeCell ref="K108:L111"/>
    <mergeCell ref="K44:L47"/>
    <mergeCell ref="K48:L51"/>
    <mergeCell ref="BD29:BG29"/>
    <mergeCell ref="N62:Q62"/>
    <mergeCell ref="R62:U62"/>
    <mergeCell ref="V62:Y62"/>
    <mergeCell ref="Z62:AC62"/>
    <mergeCell ref="V29:Y29"/>
    <mergeCell ref="AH29:AK29"/>
    <mergeCell ref="Z29:AC29"/>
    <mergeCell ref="R29:U29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2:AS65"/>
  <sheetViews>
    <sheetView workbookViewId="0">
      <selection activeCell="J52" sqref="J52"/>
    </sheetView>
  </sheetViews>
  <sheetFormatPr defaultRowHeight="14.4"/>
  <cols>
    <col min="1" max="1" width="29.5546875" bestFit="1" customWidth="1"/>
    <col min="3" max="3" width="14.33203125" bestFit="1" customWidth="1"/>
    <col min="5" max="5" width="10.109375" bestFit="1" customWidth="1"/>
    <col min="6" max="19" width="9.6640625" customWidth="1"/>
  </cols>
  <sheetData>
    <row r="2" spans="1:19">
      <c r="B2" s="10" t="s">
        <v>397</v>
      </c>
      <c r="O2">
        <f>COLUMN()</f>
        <v>15</v>
      </c>
      <c r="P2">
        <f>COLUMN()</f>
        <v>16</v>
      </c>
      <c r="Q2">
        <f>COLUMN()</f>
        <v>17</v>
      </c>
      <c r="R2">
        <f>COLUMN()</f>
        <v>18</v>
      </c>
      <c r="S2">
        <f>COLUMN()</f>
        <v>19</v>
      </c>
    </row>
    <row r="3" spans="1:19">
      <c r="F3" s="880" t="s">
        <v>391</v>
      </c>
      <c r="G3" s="880"/>
      <c r="H3" s="880"/>
      <c r="I3" s="880"/>
      <c r="J3" s="880"/>
      <c r="K3" s="880" t="s">
        <v>392</v>
      </c>
      <c r="L3" s="880"/>
      <c r="M3" s="880"/>
      <c r="N3" s="880"/>
      <c r="O3" s="880" t="s">
        <v>396</v>
      </c>
      <c r="P3" s="880"/>
      <c r="Q3" s="880"/>
      <c r="R3" s="880"/>
      <c r="S3" s="880"/>
    </row>
    <row r="4" spans="1:19">
      <c r="F4" s="880" t="s">
        <v>390</v>
      </c>
      <c r="G4" s="880"/>
      <c r="H4" s="880" t="s">
        <v>17</v>
      </c>
      <c r="I4" s="880"/>
      <c r="J4" s="546" t="s">
        <v>384</v>
      </c>
      <c r="K4" s="880" t="s">
        <v>0</v>
      </c>
      <c r="L4" s="880"/>
      <c r="M4" s="880" t="s">
        <v>394</v>
      </c>
      <c r="N4" s="880"/>
      <c r="O4" s="880" t="s">
        <v>390</v>
      </c>
      <c r="P4" s="880"/>
      <c r="Q4" s="880" t="s">
        <v>17</v>
      </c>
      <c r="R4" s="880"/>
      <c r="S4" s="546" t="s">
        <v>384</v>
      </c>
    </row>
    <row r="5" spans="1:19">
      <c r="B5" s="45" t="s">
        <v>321</v>
      </c>
      <c r="C5" t="s">
        <v>386</v>
      </c>
      <c r="D5" s="45" t="s">
        <v>388</v>
      </c>
      <c r="E5" t="s">
        <v>389</v>
      </c>
      <c r="F5" s="45" t="s">
        <v>24</v>
      </c>
      <c r="G5" s="45" t="s">
        <v>25</v>
      </c>
      <c r="H5" s="45" t="s">
        <v>24</v>
      </c>
      <c r="I5" s="45" t="s">
        <v>25</v>
      </c>
      <c r="J5" s="45" t="s">
        <v>25</v>
      </c>
      <c r="K5" s="45" t="s">
        <v>172</v>
      </c>
      <c r="L5" s="45" t="s">
        <v>393</v>
      </c>
      <c r="M5" s="45" t="s">
        <v>172</v>
      </c>
      <c r="N5" s="45" t="s">
        <v>393</v>
      </c>
      <c r="O5" s="45" t="s">
        <v>24</v>
      </c>
      <c r="P5" s="45" t="s">
        <v>25</v>
      </c>
      <c r="Q5" s="45" t="s">
        <v>24</v>
      </c>
      <c r="R5" s="45" t="s">
        <v>25</v>
      </c>
      <c r="S5" s="45" t="s">
        <v>25</v>
      </c>
    </row>
    <row r="6" spans="1:19">
      <c r="A6" s="551" t="str">
        <f>B6&amp;C6&amp;D6&amp;E6</f>
        <v>SCEResBaseWorkpaper</v>
      </c>
      <c r="B6" s="45" t="s">
        <v>16</v>
      </c>
      <c r="C6" s="45" t="s">
        <v>206</v>
      </c>
      <c r="D6" s="45" t="s">
        <v>222</v>
      </c>
      <c r="E6" s="45" t="s">
        <v>345</v>
      </c>
      <c r="F6" s="45">
        <v>0.03</v>
      </c>
      <c r="G6" s="45">
        <v>0.57999999999999996</v>
      </c>
      <c r="H6" s="45">
        <v>0.14000000000000001</v>
      </c>
      <c r="I6" s="45">
        <v>3.66</v>
      </c>
      <c r="J6" s="45">
        <v>0.21</v>
      </c>
      <c r="K6" s="548">
        <f>'2009 RASS'!N35+'2009 RASS'!N36</f>
        <v>0.93027547120073806</v>
      </c>
      <c r="L6" s="47">
        <f>1-K6</f>
        <v>6.9724528799261942E-2</v>
      </c>
      <c r="M6" s="47">
        <f>'2009 RASS'!N35+'2009 RASS'!O35</f>
        <v>0.7216291024120205</v>
      </c>
      <c r="N6" s="47">
        <f>1-M6</f>
        <v>0.2783708975879795</v>
      </c>
      <c r="O6" s="47">
        <f>F6*K6</f>
        <v>2.790826413602214E-2</v>
      </c>
      <c r="P6" s="47">
        <f>G6*L6</f>
        <v>4.0440226703571926E-2</v>
      </c>
      <c r="Q6" s="47">
        <f>H6*M6</f>
        <v>0.10102807433768288</v>
      </c>
      <c r="R6" s="47">
        <f>I6*N6</f>
        <v>1.018837485172005</v>
      </c>
      <c r="S6" s="47">
        <f>J6</f>
        <v>0.21</v>
      </c>
    </row>
    <row r="7" spans="1:19">
      <c r="A7" s="551" t="str">
        <f t="shared" ref="A7:A29" si="0">B7&amp;C7&amp;D7&amp;E7</f>
        <v>SCECommonBaseWorkpaper</v>
      </c>
      <c r="B7" s="45" t="s">
        <v>16</v>
      </c>
      <c r="C7" s="45" t="s">
        <v>387</v>
      </c>
      <c r="D7" s="45" t="s">
        <v>222</v>
      </c>
      <c r="E7" s="45" t="s">
        <v>345</v>
      </c>
      <c r="F7" s="45">
        <v>0.03</v>
      </c>
      <c r="G7" s="45">
        <v>0.57999999999999996</v>
      </c>
      <c r="H7" s="45">
        <v>0.14000000000000001</v>
      </c>
      <c r="I7" s="45">
        <v>3.66</v>
      </c>
      <c r="J7" s="45">
        <v>0.21</v>
      </c>
      <c r="K7" s="47">
        <f>K6</f>
        <v>0.93027547120073806</v>
      </c>
      <c r="L7" s="47">
        <f t="shared" ref="L7:N7" si="1">L6</f>
        <v>6.9724528799261942E-2</v>
      </c>
      <c r="M7" s="47">
        <f t="shared" si="1"/>
        <v>0.7216291024120205</v>
      </c>
      <c r="N7" s="47">
        <f t="shared" si="1"/>
        <v>0.2783708975879795</v>
      </c>
      <c r="O7" s="47">
        <f t="shared" ref="O7:O29" si="2">F7*K7</f>
        <v>2.790826413602214E-2</v>
      </c>
      <c r="P7" s="47">
        <f t="shared" ref="P7:P29" si="3">G7*L7</f>
        <v>4.0440226703571926E-2</v>
      </c>
      <c r="Q7" s="47">
        <f t="shared" ref="Q7:Q29" si="4">H7*M7</f>
        <v>0.10102807433768288</v>
      </c>
      <c r="R7" s="47">
        <f t="shared" ref="R7:R29" si="5">I7*N7</f>
        <v>1.018837485172005</v>
      </c>
      <c r="S7" s="47">
        <f t="shared" ref="S7:S29" si="6">J7</f>
        <v>0.21</v>
      </c>
    </row>
    <row r="8" spans="1:19">
      <c r="A8" s="551" t="str">
        <f t="shared" si="0"/>
        <v>SCEResMeasureWorkpaper</v>
      </c>
      <c r="B8" s="45" t="s">
        <v>16</v>
      </c>
      <c r="C8" s="45" t="s">
        <v>206</v>
      </c>
      <c r="D8" s="45" t="s">
        <v>168</v>
      </c>
      <c r="E8" s="45" t="s">
        <v>345</v>
      </c>
      <c r="F8" s="47">
        <f>Title20_UEC!Q16</f>
        <v>0.03</v>
      </c>
      <c r="G8" s="47">
        <f>Title20_UEC!Z19</f>
        <v>0.69</v>
      </c>
      <c r="H8" s="47">
        <f>Title20_UEC!O23</f>
        <v>6.4582336000000004E-2</v>
      </c>
      <c r="I8" s="45">
        <f>Title20_UEC!Y19</f>
        <v>1.69</v>
      </c>
      <c r="J8" s="47">
        <f>Title20_UEC!X19</f>
        <v>0.22800000000000001</v>
      </c>
      <c r="K8" s="47">
        <f t="shared" ref="K8:K11" si="7">K7</f>
        <v>0.93027547120073806</v>
      </c>
      <c r="L8" s="47">
        <f t="shared" ref="L8:L11" si="8">L7</f>
        <v>6.9724528799261942E-2</v>
      </c>
      <c r="M8" s="47">
        <f t="shared" ref="M8:M11" si="9">M7</f>
        <v>0.7216291024120205</v>
      </c>
      <c r="N8" s="47">
        <f t="shared" ref="N8:N11" si="10">N7</f>
        <v>0.2783708975879795</v>
      </c>
      <c r="O8" s="47">
        <f t="shared" si="2"/>
        <v>2.790826413602214E-2</v>
      </c>
      <c r="P8" s="47">
        <f t="shared" si="3"/>
        <v>4.8109924871490739E-2</v>
      </c>
      <c r="Q8" s="47">
        <f t="shared" si="4"/>
        <v>4.6604493159351522E-2</v>
      </c>
      <c r="R8" s="47">
        <f t="shared" si="5"/>
        <v>0.47044681692368534</v>
      </c>
      <c r="S8" s="47">
        <f t="shared" si="6"/>
        <v>0.22800000000000001</v>
      </c>
    </row>
    <row r="9" spans="1:19">
      <c r="A9" s="551" t="str">
        <f t="shared" si="0"/>
        <v>SCECommonMeasureWorkpaper</v>
      </c>
      <c r="B9" s="45" t="s">
        <v>16</v>
      </c>
      <c r="C9" s="45" t="s">
        <v>387</v>
      </c>
      <c r="D9" s="45" t="s">
        <v>168</v>
      </c>
      <c r="E9" s="45" t="s">
        <v>345</v>
      </c>
      <c r="F9" s="47">
        <f>F8</f>
        <v>0.03</v>
      </c>
      <c r="G9" s="47">
        <f t="shared" ref="G9:J9" si="11">G8</f>
        <v>0.69</v>
      </c>
      <c r="H9" s="47">
        <f t="shared" si="11"/>
        <v>6.4582336000000004E-2</v>
      </c>
      <c r="I9" s="47">
        <f t="shared" si="11"/>
        <v>1.69</v>
      </c>
      <c r="J9" s="47">
        <f t="shared" si="11"/>
        <v>0.22800000000000001</v>
      </c>
      <c r="K9" s="47">
        <f t="shared" si="7"/>
        <v>0.93027547120073806</v>
      </c>
      <c r="L9" s="47">
        <f t="shared" si="8"/>
        <v>6.9724528799261942E-2</v>
      </c>
      <c r="M9" s="47">
        <f t="shared" si="9"/>
        <v>0.7216291024120205</v>
      </c>
      <c r="N9" s="47">
        <f t="shared" si="10"/>
        <v>0.2783708975879795</v>
      </c>
      <c r="O9" s="47">
        <f t="shared" si="2"/>
        <v>2.790826413602214E-2</v>
      </c>
      <c r="P9" s="47">
        <f t="shared" si="3"/>
        <v>4.8109924871490739E-2</v>
      </c>
      <c r="Q9" s="47">
        <f t="shared" si="4"/>
        <v>4.6604493159351522E-2</v>
      </c>
      <c r="R9" s="47">
        <f t="shared" si="5"/>
        <v>0.47044681692368534</v>
      </c>
      <c r="S9" s="47">
        <f t="shared" si="6"/>
        <v>0.22800000000000001</v>
      </c>
    </row>
    <row r="10" spans="1:19">
      <c r="A10" s="551" t="str">
        <f t="shared" si="0"/>
        <v>SCEResMeasureEARAdj1</v>
      </c>
      <c r="B10" s="45" t="s">
        <v>16</v>
      </c>
      <c r="C10" s="45" t="s">
        <v>206</v>
      </c>
      <c r="D10" s="45" t="s">
        <v>168</v>
      </c>
      <c r="E10" s="45" t="s">
        <v>399</v>
      </c>
      <c r="F10" s="47">
        <f>G10*0.03412/0.75</f>
        <v>2.720501333333333E-2</v>
      </c>
      <c r="G10" s="47">
        <f>EARTeamReviewBackup!P12</f>
        <v>0.59799999999999998</v>
      </c>
      <c r="H10" s="47">
        <f>I10*0.03412*1.12</f>
        <v>0.11388182912977099</v>
      </c>
      <c r="I10" s="47">
        <f>EARTeamReviewBackup!Q12</f>
        <v>2.9800763358778624</v>
      </c>
      <c r="J10" s="47">
        <f>EARTeamReviewBackup!R12</f>
        <v>0.30265486725663715</v>
      </c>
      <c r="K10" s="47">
        <f t="shared" si="7"/>
        <v>0.93027547120073806</v>
      </c>
      <c r="L10" s="47">
        <f t="shared" si="8"/>
        <v>6.9724528799261942E-2</v>
      </c>
      <c r="M10" s="47">
        <f t="shared" si="9"/>
        <v>0.7216291024120205</v>
      </c>
      <c r="N10" s="47">
        <f t="shared" si="10"/>
        <v>0.2783708975879795</v>
      </c>
      <c r="O10" s="47">
        <f t="shared" si="2"/>
        <v>2.5308156597689025E-2</v>
      </c>
      <c r="P10" s="47">
        <f t="shared" si="3"/>
        <v>4.169526822195864E-2</v>
      </c>
      <c r="Q10" s="47">
        <f t="shared" si="4"/>
        <v>8.2180442135955725E-2</v>
      </c>
      <c r="R10" s="47">
        <f t="shared" si="5"/>
        <v>0.82956652449901769</v>
      </c>
      <c r="S10" s="47">
        <f t="shared" si="6"/>
        <v>0.30265486725663715</v>
      </c>
    </row>
    <row r="11" spans="1:19">
      <c r="A11" s="551" t="str">
        <f t="shared" si="0"/>
        <v>SCECommonMeasureEARAdj1</v>
      </c>
      <c r="B11" s="45" t="s">
        <v>16</v>
      </c>
      <c r="C11" s="45" t="s">
        <v>387</v>
      </c>
      <c r="D11" s="45" t="s">
        <v>168</v>
      </c>
      <c r="E11" s="45" t="s">
        <v>399</v>
      </c>
      <c r="F11" s="47">
        <f>F10</f>
        <v>2.720501333333333E-2</v>
      </c>
      <c r="G11" s="47">
        <f t="shared" ref="G11:J11" si="12">G10</f>
        <v>0.59799999999999998</v>
      </c>
      <c r="H11" s="47">
        <f t="shared" si="12"/>
        <v>0.11388182912977099</v>
      </c>
      <c r="I11" s="47">
        <f t="shared" si="12"/>
        <v>2.9800763358778624</v>
      </c>
      <c r="J11" s="47">
        <f t="shared" si="12"/>
        <v>0.30265486725663715</v>
      </c>
      <c r="K11" s="47">
        <f t="shared" si="7"/>
        <v>0.93027547120073806</v>
      </c>
      <c r="L11" s="47">
        <f t="shared" si="8"/>
        <v>6.9724528799261942E-2</v>
      </c>
      <c r="M11" s="47">
        <f t="shared" si="9"/>
        <v>0.7216291024120205</v>
      </c>
      <c r="N11" s="47">
        <f t="shared" si="10"/>
        <v>0.2783708975879795</v>
      </c>
      <c r="O11" s="47">
        <f t="shared" si="2"/>
        <v>2.5308156597689025E-2</v>
      </c>
      <c r="P11" s="47">
        <f t="shared" si="3"/>
        <v>4.169526822195864E-2</v>
      </c>
      <c r="Q11" s="47">
        <f t="shared" si="4"/>
        <v>8.2180442135955725E-2</v>
      </c>
      <c r="R11" s="47">
        <f t="shared" si="5"/>
        <v>0.82956652449901769</v>
      </c>
      <c r="S11" s="47">
        <f t="shared" si="6"/>
        <v>0.30265486725663715</v>
      </c>
    </row>
    <row r="12" spans="1:19">
      <c r="A12" s="551" t="str">
        <f t="shared" si="0"/>
        <v>PGEResBaseWorkpaper</v>
      </c>
      <c r="B12" s="45" t="s">
        <v>237</v>
      </c>
      <c r="C12" s="45" t="str">
        <f t="shared" ref="C12:J21" si="13">C6</f>
        <v>Res</v>
      </c>
      <c r="D12" s="45" t="str">
        <f t="shared" si="13"/>
        <v>Base</v>
      </c>
      <c r="E12" s="45" t="str">
        <f t="shared" si="13"/>
        <v>Workpaper</v>
      </c>
      <c r="F12" s="47">
        <f t="shared" si="13"/>
        <v>0.03</v>
      </c>
      <c r="G12" s="47">
        <f t="shared" si="13"/>
        <v>0.57999999999999996</v>
      </c>
      <c r="H12" s="47">
        <f t="shared" si="13"/>
        <v>0.14000000000000001</v>
      </c>
      <c r="I12" s="47">
        <f t="shared" si="13"/>
        <v>3.66</v>
      </c>
      <c r="J12" s="47">
        <f t="shared" si="13"/>
        <v>0.21</v>
      </c>
      <c r="K12" s="47">
        <f>'2009 RASS'!D35+'2009 RASS'!D36</f>
        <v>0.98131472309770373</v>
      </c>
      <c r="L12" s="47">
        <f>1-K12</f>
        <v>1.8685276902296266E-2</v>
      </c>
      <c r="M12" s="47">
        <f>'2009 RASS'!D35+'2009 RASS'!E35</f>
        <v>0.4045475011256191</v>
      </c>
      <c r="N12" s="47">
        <f>1-M12</f>
        <v>0.5954524988743809</v>
      </c>
      <c r="O12" s="47">
        <f t="shared" si="2"/>
        <v>2.9439441692931112E-2</v>
      </c>
      <c r="P12" s="47">
        <f t="shared" si="3"/>
        <v>1.0837460603331834E-2</v>
      </c>
      <c r="Q12" s="47">
        <f t="shared" si="4"/>
        <v>5.6636650157586677E-2</v>
      </c>
      <c r="R12" s="47">
        <f t="shared" si="5"/>
        <v>2.179356145880234</v>
      </c>
      <c r="S12" s="47">
        <f t="shared" si="6"/>
        <v>0.21</v>
      </c>
    </row>
    <row r="13" spans="1:19">
      <c r="A13" s="551" t="str">
        <f t="shared" si="0"/>
        <v>PGECommonBaseWorkpaper</v>
      </c>
      <c r="B13" s="45" t="s">
        <v>237</v>
      </c>
      <c r="C13" s="45" t="str">
        <f t="shared" si="13"/>
        <v>Common</v>
      </c>
      <c r="D13" s="45" t="str">
        <f t="shared" si="13"/>
        <v>Base</v>
      </c>
      <c r="E13" s="45" t="str">
        <f t="shared" si="13"/>
        <v>Workpaper</v>
      </c>
      <c r="F13" s="47">
        <f t="shared" si="13"/>
        <v>0.03</v>
      </c>
      <c r="G13" s="47">
        <f t="shared" si="13"/>
        <v>0.57999999999999996</v>
      </c>
      <c r="H13" s="47">
        <f t="shared" si="13"/>
        <v>0.14000000000000001</v>
      </c>
      <c r="I13" s="47">
        <f t="shared" si="13"/>
        <v>3.66</v>
      </c>
      <c r="J13" s="47">
        <f t="shared" si="13"/>
        <v>0.21</v>
      </c>
      <c r="K13" s="47">
        <f>K12</f>
        <v>0.98131472309770373</v>
      </c>
      <c r="L13" s="47">
        <f t="shared" ref="L13:L17" si="14">L12</f>
        <v>1.8685276902296266E-2</v>
      </c>
      <c r="M13" s="47">
        <f t="shared" ref="M13:M17" si="15">M12</f>
        <v>0.4045475011256191</v>
      </c>
      <c r="N13" s="47">
        <f t="shared" ref="N13:N17" si="16">N12</f>
        <v>0.5954524988743809</v>
      </c>
      <c r="O13" s="47">
        <f t="shared" si="2"/>
        <v>2.9439441692931112E-2</v>
      </c>
      <c r="P13" s="47">
        <f t="shared" si="3"/>
        <v>1.0837460603331834E-2</v>
      </c>
      <c r="Q13" s="47">
        <f t="shared" si="4"/>
        <v>5.6636650157586677E-2</v>
      </c>
      <c r="R13" s="47">
        <f t="shared" si="5"/>
        <v>2.179356145880234</v>
      </c>
      <c r="S13" s="47">
        <f t="shared" si="6"/>
        <v>0.21</v>
      </c>
    </row>
    <row r="14" spans="1:19">
      <c r="A14" s="551" t="str">
        <f t="shared" si="0"/>
        <v>PGEResMeasureWorkpaper</v>
      </c>
      <c r="B14" s="45" t="s">
        <v>237</v>
      </c>
      <c r="C14" s="45" t="str">
        <f t="shared" si="13"/>
        <v>Res</v>
      </c>
      <c r="D14" s="45" t="str">
        <f t="shared" si="13"/>
        <v>Measure</v>
      </c>
      <c r="E14" s="45" t="str">
        <f t="shared" si="13"/>
        <v>Workpaper</v>
      </c>
      <c r="F14" s="47">
        <f t="shared" si="13"/>
        <v>0.03</v>
      </c>
      <c r="G14" s="47">
        <f t="shared" si="13"/>
        <v>0.69</v>
      </c>
      <c r="H14" s="47">
        <f t="shared" si="13"/>
        <v>6.4582336000000004E-2</v>
      </c>
      <c r="I14" s="47">
        <f t="shared" si="13"/>
        <v>1.69</v>
      </c>
      <c r="J14" s="47">
        <f t="shared" si="13"/>
        <v>0.22800000000000001</v>
      </c>
      <c r="K14" s="47">
        <f t="shared" ref="K14:K17" si="17">K13</f>
        <v>0.98131472309770373</v>
      </c>
      <c r="L14" s="47">
        <f t="shared" si="14"/>
        <v>1.8685276902296266E-2</v>
      </c>
      <c r="M14" s="47">
        <f t="shared" si="15"/>
        <v>0.4045475011256191</v>
      </c>
      <c r="N14" s="47">
        <f t="shared" si="16"/>
        <v>0.5954524988743809</v>
      </c>
      <c r="O14" s="47">
        <f t="shared" si="2"/>
        <v>2.9439441692931112E-2</v>
      </c>
      <c r="P14" s="47">
        <f t="shared" si="3"/>
        <v>1.2892841062584422E-2</v>
      </c>
      <c r="Q14" s="47">
        <f t="shared" si="4"/>
        <v>2.6126622645655111E-2</v>
      </c>
      <c r="R14" s="47">
        <f t="shared" si="5"/>
        <v>1.0063147230977036</v>
      </c>
      <c r="S14" s="47">
        <f t="shared" si="6"/>
        <v>0.22800000000000001</v>
      </c>
    </row>
    <row r="15" spans="1:19">
      <c r="A15" s="551" t="str">
        <f t="shared" si="0"/>
        <v>PGECommonMeasureWorkpaper</v>
      </c>
      <c r="B15" s="45" t="s">
        <v>237</v>
      </c>
      <c r="C15" s="45" t="str">
        <f t="shared" si="13"/>
        <v>Common</v>
      </c>
      <c r="D15" s="45" t="str">
        <f t="shared" si="13"/>
        <v>Measure</v>
      </c>
      <c r="E15" s="45" t="str">
        <f t="shared" si="13"/>
        <v>Workpaper</v>
      </c>
      <c r="F15" s="47">
        <f t="shared" si="13"/>
        <v>0.03</v>
      </c>
      <c r="G15" s="47">
        <f t="shared" si="13"/>
        <v>0.69</v>
      </c>
      <c r="H15" s="47">
        <f t="shared" si="13"/>
        <v>6.4582336000000004E-2</v>
      </c>
      <c r="I15" s="47">
        <f t="shared" si="13"/>
        <v>1.69</v>
      </c>
      <c r="J15" s="47">
        <f t="shared" si="13"/>
        <v>0.22800000000000001</v>
      </c>
      <c r="K15" s="47">
        <f t="shared" si="17"/>
        <v>0.98131472309770373</v>
      </c>
      <c r="L15" s="47">
        <f t="shared" si="14"/>
        <v>1.8685276902296266E-2</v>
      </c>
      <c r="M15" s="47">
        <f t="shared" si="15"/>
        <v>0.4045475011256191</v>
      </c>
      <c r="N15" s="47">
        <f t="shared" si="16"/>
        <v>0.5954524988743809</v>
      </c>
      <c r="O15" s="47">
        <f t="shared" si="2"/>
        <v>2.9439441692931112E-2</v>
      </c>
      <c r="P15" s="47">
        <f t="shared" si="3"/>
        <v>1.2892841062584422E-2</v>
      </c>
      <c r="Q15" s="47">
        <f t="shared" si="4"/>
        <v>2.6126622645655111E-2</v>
      </c>
      <c r="R15" s="47">
        <f t="shared" si="5"/>
        <v>1.0063147230977036</v>
      </c>
      <c r="S15" s="47">
        <f t="shared" si="6"/>
        <v>0.22800000000000001</v>
      </c>
    </row>
    <row r="16" spans="1:19">
      <c r="A16" s="551" t="str">
        <f t="shared" si="0"/>
        <v>PGEResMeasureEARAdj1</v>
      </c>
      <c r="B16" s="45" t="s">
        <v>237</v>
      </c>
      <c r="C16" s="45" t="str">
        <f t="shared" si="13"/>
        <v>Res</v>
      </c>
      <c r="D16" s="45" t="str">
        <f t="shared" si="13"/>
        <v>Measure</v>
      </c>
      <c r="E16" s="45" t="str">
        <f t="shared" si="13"/>
        <v>EARAdj1</v>
      </c>
      <c r="F16" s="47">
        <f t="shared" si="13"/>
        <v>2.720501333333333E-2</v>
      </c>
      <c r="G16" s="47">
        <f t="shared" si="13"/>
        <v>0.59799999999999998</v>
      </c>
      <c r="H16" s="47">
        <f t="shared" si="13"/>
        <v>0.11388182912977099</v>
      </c>
      <c r="I16" s="47">
        <f t="shared" si="13"/>
        <v>2.9800763358778624</v>
      </c>
      <c r="J16" s="47">
        <f t="shared" si="13"/>
        <v>0.30265486725663715</v>
      </c>
      <c r="K16" s="47">
        <f t="shared" si="17"/>
        <v>0.98131472309770373</v>
      </c>
      <c r="L16" s="47">
        <f t="shared" si="14"/>
        <v>1.8685276902296266E-2</v>
      </c>
      <c r="M16" s="47">
        <f t="shared" si="15"/>
        <v>0.4045475011256191</v>
      </c>
      <c r="N16" s="47">
        <f t="shared" si="16"/>
        <v>0.5954524988743809</v>
      </c>
      <c r="O16" s="47">
        <f t="shared" si="2"/>
        <v>2.6696680126069336E-2</v>
      </c>
      <c r="P16" s="47">
        <f t="shared" si="3"/>
        <v>1.1173795587573167E-2</v>
      </c>
      <c r="Q16" s="47">
        <f t="shared" si="4"/>
        <v>4.6070609398063594E-2</v>
      </c>
      <c r="R16" s="47">
        <f t="shared" si="5"/>
        <v>1.7744939010348819</v>
      </c>
      <c r="S16" s="47">
        <f t="shared" si="6"/>
        <v>0.30265486725663715</v>
      </c>
    </row>
    <row r="17" spans="1:25">
      <c r="A17" s="551" t="str">
        <f t="shared" si="0"/>
        <v>PGECommonMeasureEARAdj1</v>
      </c>
      <c r="B17" s="45" t="s">
        <v>237</v>
      </c>
      <c r="C17" s="45" t="str">
        <f t="shared" si="13"/>
        <v>Common</v>
      </c>
      <c r="D17" s="45" t="str">
        <f t="shared" si="13"/>
        <v>Measure</v>
      </c>
      <c r="E17" s="45" t="str">
        <f t="shared" si="13"/>
        <v>EARAdj1</v>
      </c>
      <c r="F17" s="47">
        <f t="shared" si="13"/>
        <v>2.720501333333333E-2</v>
      </c>
      <c r="G17" s="47">
        <f t="shared" si="13"/>
        <v>0.59799999999999998</v>
      </c>
      <c r="H17" s="47">
        <f t="shared" si="13"/>
        <v>0.11388182912977099</v>
      </c>
      <c r="I17" s="47">
        <f t="shared" si="13"/>
        <v>2.9800763358778624</v>
      </c>
      <c r="J17" s="47">
        <f t="shared" si="13"/>
        <v>0.30265486725663715</v>
      </c>
      <c r="K17" s="47">
        <f t="shared" si="17"/>
        <v>0.98131472309770373</v>
      </c>
      <c r="L17" s="47">
        <f t="shared" si="14"/>
        <v>1.8685276902296266E-2</v>
      </c>
      <c r="M17" s="47">
        <f t="shared" si="15"/>
        <v>0.4045475011256191</v>
      </c>
      <c r="N17" s="47">
        <f t="shared" si="16"/>
        <v>0.5954524988743809</v>
      </c>
      <c r="O17" s="47">
        <f t="shared" si="2"/>
        <v>2.6696680126069336E-2</v>
      </c>
      <c r="P17" s="47">
        <f t="shared" si="3"/>
        <v>1.1173795587573167E-2</v>
      </c>
      <c r="Q17" s="47">
        <f t="shared" si="4"/>
        <v>4.6070609398063594E-2</v>
      </c>
      <c r="R17" s="47">
        <f t="shared" si="5"/>
        <v>1.7744939010348819</v>
      </c>
      <c r="S17" s="47">
        <f t="shared" si="6"/>
        <v>0.30265486725663715</v>
      </c>
    </row>
    <row r="18" spans="1:25">
      <c r="A18" s="551" t="str">
        <f t="shared" si="0"/>
        <v>SDGEResBaseWorkpaper</v>
      </c>
      <c r="B18" s="45" t="s">
        <v>395</v>
      </c>
      <c r="C18" s="45" t="str">
        <f t="shared" si="13"/>
        <v>Res</v>
      </c>
      <c r="D18" s="45" t="str">
        <f t="shared" si="13"/>
        <v>Base</v>
      </c>
      <c r="E18" s="45" t="str">
        <f t="shared" si="13"/>
        <v>Workpaper</v>
      </c>
      <c r="F18" s="47">
        <f t="shared" si="13"/>
        <v>0.03</v>
      </c>
      <c r="G18" s="47">
        <f t="shared" si="13"/>
        <v>0.57999999999999996</v>
      </c>
      <c r="H18" s="47">
        <f t="shared" si="13"/>
        <v>0.14000000000000001</v>
      </c>
      <c r="I18" s="47">
        <f t="shared" si="13"/>
        <v>3.66</v>
      </c>
      <c r="J18" s="47">
        <f t="shared" si="13"/>
        <v>0.21</v>
      </c>
      <c r="K18" s="47">
        <f>'2009 RASS'!D70+'2009 RASS'!D71</f>
        <v>0.97662683637383352</v>
      </c>
      <c r="L18" s="47">
        <f>1-K18</f>
        <v>2.3373163626166482E-2</v>
      </c>
      <c r="M18" s="47">
        <f>'2009 RASS'!D70+'2009 RASS'!E70</f>
        <v>0.67312623658259207</v>
      </c>
      <c r="N18" s="47">
        <f>1-M18</f>
        <v>0.32687376341740793</v>
      </c>
      <c r="O18" s="47">
        <f t="shared" si="2"/>
        <v>2.9298805091215005E-2</v>
      </c>
      <c r="P18" s="47">
        <f t="shared" si="3"/>
        <v>1.3556434903176559E-2</v>
      </c>
      <c r="Q18" s="47">
        <f t="shared" si="4"/>
        <v>9.4237673121562893E-2</v>
      </c>
      <c r="R18" s="47">
        <f t="shared" si="5"/>
        <v>1.1963579741077131</v>
      </c>
      <c r="S18" s="47">
        <f t="shared" si="6"/>
        <v>0.21</v>
      </c>
    </row>
    <row r="19" spans="1:25">
      <c r="A19" s="551" t="str">
        <f t="shared" si="0"/>
        <v>SDGECommonBaseWorkpaper</v>
      </c>
      <c r="B19" s="45" t="s">
        <v>395</v>
      </c>
      <c r="C19" s="45" t="str">
        <f t="shared" si="13"/>
        <v>Common</v>
      </c>
      <c r="D19" s="45" t="str">
        <f t="shared" si="13"/>
        <v>Base</v>
      </c>
      <c r="E19" s="45" t="str">
        <f t="shared" si="13"/>
        <v>Workpaper</v>
      </c>
      <c r="F19" s="47">
        <f t="shared" si="13"/>
        <v>0.03</v>
      </c>
      <c r="G19" s="47">
        <f t="shared" si="13"/>
        <v>0.57999999999999996</v>
      </c>
      <c r="H19" s="47">
        <f t="shared" si="13"/>
        <v>0.14000000000000001</v>
      </c>
      <c r="I19" s="47">
        <f t="shared" si="13"/>
        <v>3.66</v>
      </c>
      <c r="J19" s="47">
        <f t="shared" si="13"/>
        <v>0.21</v>
      </c>
      <c r="K19" s="47">
        <f>K18</f>
        <v>0.97662683637383352</v>
      </c>
      <c r="L19" s="47">
        <f t="shared" ref="L19:L23" si="18">L18</f>
        <v>2.3373163626166482E-2</v>
      </c>
      <c r="M19" s="47">
        <f t="shared" ref="M19:M23" si="19">M18</f>
        <v>0.67312623658259207</v>
      </c>
      <c r="N19" s="47">
        <f t="shared" ref="N19:N23" si="20">N18</f>
        <v>0.32687376341740793</v>
      </c>
      <c r="O19" s="47">
        <f t="shared" si="2"/>
        <v>2.9298805091215005E-2</v>
      </c>
      <c r="P19" s="47">
        <f t="shared" si="3"/>
        <v>1.3556434903176559E-2</v>
      </c>
      <c r="Q19" s="47">
        <f t="shared" si="4"/>
        <v>9.4237673121562893E-2</v>
      </c>
      <c r="R19" s="47">
        <f t="shared" si="5"/>
        <v>1.1963579741077131</v>
      </c>
      <c r="S19" s="47">
        <f t="shared" si="6"/>
        <v>0.21</v>
      </c>
    </row>
    <row r="20" spans="1:25">
      <c r="A20" s="551" t="str">
        <f t="shared" si="0"/>
        <v>SDGEResMeasureWorkpaper</v>
      </c>
      <c r="B20" s="45" t="s">
        <v>395</v>
      </c>
      <c r="C20" s="45" t="str">
        <f t="shared" si="13"/>
        <v>Res</v>
      </c>
      <c r="D20" s="45" t="str">
        <f t="shared" si="13"/>
        <v>Measure</v>
      </c>
      <c r="E20" s="45" t="str">
        <f t="shared" si="13"/>
        <v>Workpaper</v>
      </c>
      <c r="F20" s="47">
        <f t="shared" si="13"/>
        <v>0.03</v>
      </c>
      <c r="G20" s="47">
        <f t="shared" si="13"/>
        <v>0.69</v>
      </c>
      <c r="H20" s="47">
        <f t="shared" si="13"/>
        <v>6.4582336000000004E-2</v>
      </c>
      <c r="I20" s="47">
        <f t="shared" si="13"/>
        <v>1.69</v>
      </c>
      <c r="J20" s="47">
        <f t="shared" si="13"/>
        <v>0.22800000000000001</v>
      </c>
      <c r="K20" s="47">
        <f t="shared" ref="K20:K23" si="21">K19</f>
        <v>0.97662683637383352</v>
      </c>
      <c r="L20" s="47">
        <f t="shared" si="18"/>
        <v>2.3373163626166482E-2</v>
      </c>
      <c r="M20" s="47">
        <f t="shared" si="19"/>
        <v>0.67312623658259207</v>
      </c>
      <c r="N20" s="47">
        <f t="shared" si="20"/>
        <v>0.32687376341740793</v>
      </c>
      <c r="O20" s="47">
        <f t="shared" si="2"/>
        <v>2.9298805091215005E-2</v>
      </c>
      <c r="P20" s="47">
        <f t="shared" si="3"/>
        <v>1.612748290205487E-2</v>
      </c>
      <c r="Q20" s="47">
        <f t="shared" si="4"/>
        <v>4.3472064781392455E-2</v>
      </c>
      <c r="R20" s="47">
        <f t="shared" si="5"/>
        <v>0.55241666017541935</v>
      </c>
      <c r="S20" s="47">
        <f t="shared" si="6"/>
        <v>0.22800000000000001</v>
      </c>
    </row>
    <row r="21" spans="1:25">
      <c r="A21" s="551" t="str">
        <f t="shared" si="0"/>
        <v>SDGECommonMeasureWorkpaper</v>
      </c>
      <c r="B21" s="45" t="s">
        <v>395</v>
      </c>
      <c r="C21" s="45" t="str">
        <f t="shared" si="13"/>
        <v>Common</v>
      </c>
      <c r="D21" s="45" t="str">
        <f t="shared" si="13"/>
        <v>Measure</v>
      </c>
      <c r="E21" s="45" t="str">
        <f t="shared" si="13"/>
        <v>Workpaper</v>
      </c>
      <c r="F21" s="47">
        <f t="shared" si="13"/>
        <v>0.03</v>
      </c>
      <c r="G21" s="47">
        <f t="shared" si="13"/>
        <v>0.69</v>
      </c>
      <c r="H21" s="47">
        <f t="shared" si="13"/>
        <v>6.4582336000000004E-2</v>
      </c>
      <c r="I21" s="47">
        <f t="shared" si="13"/>
        <v>1.69</v>
      </c>
      <c r="J21" s="47">
        <f t="shared" si="13"/>
        <v>0.22800000000000001</v>
      </c>
      <c r="K21" s="47">
        <f t="shared" si="21"/>
        <v>0.97662683637383352</v>
      </c>
      <c r="L21" s="47">
        <f t="shared" si="18"/>
        <v>2.3373163626166482E-2</v>
      </c>
      <c r="M21" s="47">
        <f t="shared" si="19"/>
        <v>0.67312623658259207</v>
      </c>
      <c r="N21" s="47">
        <f t="shared" si="20"/>
        <v>0.32687376341740793</v>
      </c>
      <c r="O21" s="47">
        <f t="shared" si="2"/>
        <v>2.9298805091215005E-2</v>
      </c>
      <c r="P21" s="47">
        <f t="shared" si="3"/>
        <v>1.612748290205487E-2</v>
      </c>
      <c r="Q21" s="47">
        <f t="shared" si="4"/>
        <v>4.3472064781392455E-2</v>
      </c>
      <c r="R21" s="47">
        <f t="shared" si="5"/>
        <v>0.55241666017541935</v>
      </c>
      <c r="S21" s="47">
        <f t="shared" si="6"/>
        <v>0.22800000000000001</v>
      </c>
    </row>
    <row r="22" spans="1:25">
      <c r="A22" s="551" t="str">
        <f t="shared" si="0"/>
        <v>SDGEResMeasureEARAdj1</v>
      </c>
      <c r="B22" s="45" t="s">
        <v>395</v>
      </c>
      <c r="C22" s="45" t="str">
        <f t="shared" ref="C22:J29" si="22">C16</f>
        <v>Res</v>
      </c>
      <c r="D22" s="45" t="str">
        <f t="shared" si="22"/>
        <v>Measure</v>
      </c>
      <c r="E22" s="45" t="str">
        <f t="shared" si="22"/>
        <v>EARAdj1</v>
      </c>
      <c r="F22" s="47">
        <f t="shared" si="22"/>
        <v>2.720501333333333E-2</v>
      </c>
      <c r="G22" s="47">
        <f t="shared" si="22"/>
        <v>0.59799999999999998</v>
      </c>
      <c r="H22" s="47">
        <f t="shared" si="22"/>
        <v>0.11388182912977099</v>
      </c>
      <c r="I22" s="47">
        <f t="shared" si="22"/>
        <v>2.9800763358778624</v>
      </c>
      <c r="J22" s="47">
        <f t="shared" si="22"/>
        <v>0.30265486725663715</v>
      </c>
      <c r="K22" s="47">
        <f t="shared" si="21"/>
        <v>0.97662683637383352</v>
      </c>
      <c r="L22" s="47">
        <f t="shared" si="18"/>
        <v>2.3373163626166482E-2</v>
      </c>
      <c r="M22" s="47">
        <f t="shared" si="19"/>
        <v>0.67312623658259207</v>
      </c>
      <c r="N22" s="47">
        <f t="shared" si="20"/>
        <v>0.32687376341740793</v>
      </c>
      <c r="O22" s="47">
        <f t="shared" si="2"/>
        <v>2.656914610524129E-2</v>
      </c>
      <c r="P22" s="47">
        <f t="shared" si="3"/>
        <v>1.3977151848447555E-2</v>
      </c>
      <c r="Q22" s="47">
        <f t="shared" si="4"/>
        <v>7.6656847057264554E-2</v>
      </c>
      <c r="R22" s="47">
        <f t="shared" si="5"/>
        <v>0.9741087671795563</v>
      </c>
      <c r="S22" s="47">
        <f t="shared" si="6"/>
        <v>0.30265486725663715</v>
      </c>
    </row>
    <row r="23" spans="1:25">
      <c r="A23" s="551" t="str">
        <f t="shared" si="0"/>
        <v>SDGECommonMeasureEARAdj1</v>
      </c>
      <c r="B23" s="45" t="s">
        <v>395</v>
      </c>
      <c r="C23" s="45" t="str">
        <f t="shared" si="22"/>
        <v>Common</v>
      </c>
      <c r="D23" s="45" t="str">
        <f t="shared" si="22"/>
        <v>Measure</v>
      </c>
      <c r="E23" s="45" t="str">
        <f t="shared" si="22"/>
        <v>EARAdj1</v>
      </c>
      <c r="F23" s="47">
        <f t="shared" si="22"/>
        <v>2.720501333333333E-2</v>
      </c>
      <c r="G23" s="47">
        <f t="shared" si="22"/>
        <v>0.59799999999999998</v>
      </c>
      <c r="H23" s="47">
        <f t="shared" si="22"/>
        <v>0.11388182912977099</v>
      </c>
      <c r="I23" s="47">
        <f t="shared" si="22"/>
        <v>2.9800763358778624</v>
      </c>
      <c r="J23" s="47">
        <f t="shared" si="22"/>
        <v>0.30265486725663715</v>
      </c>
      <c r="K23" s="47">
        <f t="shared" si="21"/>
        <v>0.97662683637383352</v>
      </c>
      <c r="L23" s="47">
        <f t="shared" si="18"/>
        <v>2.3373163626166482E-2</v>
      </c>
      <c r="M23" s="47">
        <f t="shared" si="19"/>
        <v>0.67312623658259207</v>
      </c>
      <c r="N23" s="47">
        <f t="shared" si="20"/>
        <v>0.32687376341740793</v>
      </c>
      <c r="O23" s="47">
        <f t="shared" si="2"/>
        <v>2.656914610524129E-2</v>
      </c>
      <c r="P23" s="47">
        <f t="shared" si="3"/>
        <v>1.3977151848447555E-2</v>
      </c>
      <c r="Q23" s="47">
        <f t="shared" si="4"/>
        <v>7.6656847057264554E-2</v>
      </c>
      <c r="R23" s="47">
        <f t="shared" si="5"/>
        <v>0.9741087671795563</v>
      </c>
      <c r="S23" s="47">
        <f t="shared" si="6"/>
        <v>0.30265486725663715</v>
      </c>
    </row>
    <row r="24" spans="1:25">
      <c r="A24" s="551" t="str">
        <f t="shared" si="0"/>
        <v>SCGResBaseWorkpaper</v>
      </c>
      <c r="B24" s="45" t="s">
        <v>301</v>
      </c>
      <c r="C24" s="45" t="str">
        <f t="shared" si="22"/>
        <v>Res</v>
      </c>
      <c r="D24" s="45" t="str">
        <f t="shared" si="22"/>
        <v>Base</v>
      </c>
      <c r="E24" s="45" t="str">
        <f t="shared" si="22"/>
        <v>Workpaper</v>
      </c>
      <c r="F24" s="47">
        <f t="shared" si="22"/>
        <v>0.03</v>
      </c>
      <c r="G24" s="47">
        <f t="shared" si="22"/>
        <v>0.57999999999999996</v>
      </c>
      <c r="H24" s="47">
        <f t="shared" si="22"/>
        <v>0.14000000000000001</v>
      </c>
      <c r="I24" s="47">
        <f t="shared" si="22"/>
        <v>3.66</v>
      </c>
      <c r="J24" s="47">
        <f t="shared" si="22"/>
        <v>0.21</v>
      </c>
      <c r="K24" s="47">
        <f>'2009 RASS'!N70+'2009 RASS'!N71</f>
        <v>0.98851010101010106</v>
      </c>
      <c r="L24" s="47">
        <f>1-K24</f>
        <v>1.1489898989898939E-2</v>
      </c>
      <c r="M24" s="47">
        <f>'2009 RASS'!N70+'2009 RASS'!O70</f>
        <v>0.78459595959595962</v>
      </c>
      <c r="N24" s="47">
        <f>1-M24</f>
        <v>0.21540404040404038</v>
      </c>
      <c r="O24" s="47">
        <f t="shared" si="2"/>
        <v>2.9655303030303032E-2</v>
      </c>
      <c r="P24" s="47">
        <f t="shared" si="3"/>
        <v>6.6641414141413845E-3</v>
      </c>
      <c r="Q24" s="47">
        <f t="shared" si="4"/>
        <v>0.10984343434343435</v>
      </c>
      <c r="R24" s="47">
        <f t="shared" si="5"/>
        <v>0.78837878787878779</v>
      </c>
      <c r="S24" s="47">
        <f t="shared" si="6"/>
        <v>0.21</v>
      </c>
    </row>
    <row r="25" spans="1:25">
      <c r="A25" s="551" t="str">
        <f t="shared" si="0"/>
        <v>SCGCommonBaseWorkpaper</v>
      </c>
      <c r="B25" s="45" t="s">
        <v>301</v>
      </c>
      <c r="C25" s="45" t="str">
        <f t="shared" si="22"/>
        <v>Common</v>
      </c>
      <c r="D25" s="45" t="str">
        <f t="shared" si="22"/>
        <v>Base</v>
      </c>
      <c r="E25" s="45" t="str">
        <f t="shared" si="22"/>
        <v>Workpaper</v>
      </c>
      <c r="F25" s="47">
        <f t="shared" si="22"/>
        <v>0.03</v>
      </c>
      <c r="G25" s="47">
        <f t="shared" si="22"/>
        <v>0.57999999999999996</v>
      </c>
      <c r="H25" s="47">
        <f t="shared" si="22"/>
        <v>0.14000000000000001</v>
      </c>
      <c r="I25" s="47">
        <f t="shared" si="22"/>
        <v>3.66</v>
      </c>
      <c r="J25" s="47">
        <f t="shared" si="22"/>
        <v>0.21</v>
      </c>
      <c r="K25" s="47">
        <f>K24</f>
        <v>0.98851010101010106</v>
      </c>
      <c r="L25" s="47">
        <f t="shared" ref="L25:L29" si="23">L24</f>
        <v>1.1489898989898939E-2</v>
      </c>
      <c r="M25" s="47">
        <f t="shared" ref="M25:M29" si="24">M24</f>
        <v>0.78459595959595962</v>
      </c>
      <c r="N25" s="47">
        <f t="shared" ref="N25:N29" si="25">N24</f>
        <v>0.21540404040404038</v>
      </c>
      <c r="O25" s="47">
        <f t="shared" si="2"/>
        <v>2.9655303030303032E-2</v>
      </c>
      <c r="P25" s="47">
        <f t="shared" si="3"/>
        <v>6.6641414141413845E-3</v>
      </c>
      <c r="Q25" s="47">
        <f t="shared" si="4"/>
        <v>0.10984343434343435</v>
      </c>
      <c r="R25" s="47">
        <f t="shared" si="5"/>
        <v>0.78837878787878779</v>
      </c>
      <c r="S25" s="47">
        <f t="shared" si="6"/>
        <v>0.21</v>
      </c>
    </row>
    <row r="26" spans="1:25">
      <c r="A26" s="551" t="str">
        <f t="shared" si="0"/>
        <v>SCGResMeasureWorkpaper</v>
      </c>
      <c r="B26" s="45" t="s">
        <v>301</v>
      </c>
      <c r="C26" s="45" t="str">
        <f t="shared" si="22"/>
        <v>Res</v>
      </c>
      <c r="D26" s="45" t="str">
        <f t="shared" si="22"/>
        <v>Measure</v>
      </c>
      <c r="E26" s="45" t="str">
        <f t="shared" si="22"/>
        <v>Workpaper</v>
      </c>
      <c r="F26" s="47">
        <f t="shared" si="22"/>
        <v>0.03</v>
      </c>
      <c r="G26" s="47">
        <f t="shared" si="22"/>
        <v>0.69</v>
      </c>
      <c r="H26" s="47">
        <f t="shared" si="22"/>
        <v>6.4582336000000004E-2</v>
      </c>
      <c r="I26" s="47">
        <f t="shared" si="22"/>
        <v>1.69</v>
      </c>
      <c r="J26" s="47">
        <f t="shared" si="22"/>
        <v>0.22800000000000001</v>
      </c>
      <c r="K26" s="47">
        <f t="shared" ref="K26:K29" si="26">K25</f>
        <v>0.98851010101010106</v>
      </c>
      <c r="L26" s="47">
        <f t="shared" si="23"/>
        <v>1.1489898989898939E-2</v>
      </c>
      <c r="M26" s="47">
        <f t="shared" si="24"/>
        <v>0.78459595959595962</v>
      </c>
      <c r="N26" s="47">
        <f t="shared" si="25"/>
        <v>0.21540404040404038</v>
      </c>
      <c r="O26" s="47">
        <f t="shared" si="2"/>
        <v>2.9655303030303032E-2</v>
      </c>
      <c r="P26" s="47">
        <f t="shared" si="3"/>
        <v>7.9280303030302667E-3</v>
      </c>
      <c r="Q26" s="47">
        <f t="shared" si="4"/>
        <v>5.0671039886868691E-2</v>
      </c>
      <c r="R26" s="47">
        <f t="shared" si="5"/>
        <v>0.36403282828282824</v>
      </c>
      <c r="S26" s="47">
        <f t="shared" si="6"/>
        <v>0.22800000000000001</v>
      </c>
    </row>
    <row r="27" spans="1:25">
      <c r="A27" s="551" t="str">
        <f t="shared" si="0"/>
        <v>SCGCommonMeasureWorkpaper</v>
      </c>
      <c r="B27" s="45" t="s">
        <v>301</v>
      </c>
      <c r="C27" s="45" t="str">
        <f t="shared" si="22"/>
        <v>Common</v>
      </c>
      <c r="D27" s="45" t="str">
        <f t="shared" si="22"/>
        <v>Measure</v>
      </c>
      <c r="E27" s="45" t="str">
        <f t="shared" si="22"/>
        <v>Workpaper</v>
      </c>
      <c r="F27" s="47">
        <f t="shared" si="22"/>
        <v>0.03</v>
      </c>
      <c r="G27" s="47">
        <f t="shared" si="22"/>
        <v>0.69</v>
      </c>
      <c r="H27" s="47">
        <f t="shared" si="22"/>
        <v>6.4582336000000004E-2</v>
      </c>
      <c r="I27" s="47">
        <f t="shared" si="22"/>
        <v>1.69</v>
      </c>
      <c r="J27" s="47">
        <f t="shared" si="22"/>
        <v>0.22800000000000001</v>
      </c>
      <c r="K27" s="47">
        <f t="shared" si="26"/>
        <v>0.98851010101010106</v>
      </c>
      <c r="L27" s="47">
        <f t="shared" si="23"/>
        <v>1.1489898989898939E-2</v>
      </c>
      <c r="M27" s="47">
        <f t="shared" si="24"/>
        <v>0.78459595959595962</v>
      </c>
      <c r="N27" s="47">
        <f t="shared" si="25"/>
        <v>0.21540404040404038</v>
      </c>
      <c r="O27" s="47">
        <f t="shared" si="2"/>
        <v>2.9655303030303032E-2</v>
      </c>
      <c r="P27" s="47">
        <f t="shared" si="3"/>
        <v>7.9280303030302667E-3</v>
      </c>
      <c r="Q27" s="47">
        <f t="shared" si="4"/>
        <v>5.0671039886868691E-2</v>
      </c>
      <c r="R27" s="47">
        <f t="shared" si="5"/>
        <v>0.36403282828282824</v>
      </c>
      <c r="S27" s="47">
        <f t="shared" si="6"/>
        <v>0.22800000000000001</v>
      </c>
    </row>
    <row r="28" spans="1:25">
      <c r="A28" s="551" t="str">
        <f t="shared" si="0"/>
        <v>SCGResMeasureEARAdj1</v>
      </c>
      <c r="B28" s="45" t="s">
        <v>301</v>
      </c>
      <c r="C28" s="45" t="str">
        <f t="shared" si="22"/>
        <v>Res</v>
      </c>
      <c r="D28" s="45" t="str">
        <f t="shared" si="22"/>
        <v>Measure</v>
      </c>
      <c r="E28" s="45" t="str">
        <f t="shared" si="22"/>
        <v>EARAdj1</v>
      </c>
      <c r="F28" s="47">
        <f t="shared" si="22"/>
        <v>2.720501333333333E-2</v>
      </c>
      <c r="G28" s="47">
        <f t="shared" si="22"/>
        <v>0.59799999999999998</v>
      </c>
      <c r="H28" s="47">
        <f t="shared" si="22"/>
        <v>0.11388182912977099</v>
      </c>
      <c r="I28" s="47">
        <f t="shared" si="22"/>
        <v>2.9800763358778624</v>
      </c>
      <c r="J28" s="47">
        <f t="shared" si="22"/>
        <v>0.30265486725663715</v>
      </c>
      <c r="K28" s="47">
        <f t="shared" si="26"/>
        <v>0.98851010101010106</v>
      </c>
      <c r="L28" s="47">
        <f t="shared" si="23"/>
        <v>1.1489898989898939E-2</v>
      </c>
      <c r="M28" s="47">
        <f t="shared" si="24"/>
        <v>0.78459595959595962</v>
      </c>
      <c r="N28" s="47">
        <f t="shared" si="25"/>
        <v>0.21540404040404038</v>
      </c>
      <c r="O28" s="47">
        <f t="shared" si="2"/>
        <v>2.6892430478114477E-2</v>
      </c>
      <c r="P28" s="47">
        <f t="shared" si="3"/>
        <v>6.870959595959565E-3</v>
      </c>
      <c r="Q28" s="47">
        <f t="shared" si="4"/>
        <v>8.9351223006615771E-2</v>
      </c>
      <c r="R28" s="47">
        <f t="shared" si="5"/>
        <v>0.64192048346055963</v>
      </c>
      <c r="S28" s="47">
        <f t="shared" si="6"/>
        <v>0.30265486725663715</v>
      </c>
    </row>
    <row r="29" spans="1:25">
      <c r="A29" s="551" t="str">
        <f t="shared" si="0"/>
        <v>SCGCommonMeasureEARAdj1</v>
      </c>
      <c r="B29" s="45" t="s">
        <v>301</v>
      </c>
      <c r="C29" s="45" t="str">
        <f t="shared" si="22"/>
        <v>Common</v>
      </c>
      <c r="D29" s="45" t="str">
        <f t="shared" si="22"/>
        <v>Measure</v>
      </c>
      <c r="E29" s="45" t="str">
        <f t="shared" si="22"/>
        <v>EARAdj1</v>
      </c>
      <c r="F29" s="47">
        <f t="shared" si="22"/>
        <v>2.720501333333333E-2</v>
      </c>
      <c r="G29" s="47">
        <f t="shared" si="22"/>
        <v>0.59799999999999998</v>
      </c>
      <c r="H29" s="47">
        <f t="shared" si="22"/>
        <v>0.11388182912977099</v>
      </c>
      <c r="I29" s="47">
        <f t="shared" si="22"/>
        <v>2.9800763358778624</v>
      </c>
      <c r="J29" s="47">
        <f t="shared" si="22"/>
        <v>0.30265486725663715</v>
      </c>
      <c r="K29" s="47">
        <f t="shared" si="26"/>
        <v>0.98851010101010106</v>
      </c>
      <c r="L29" s="47">
        <f t="shared" si="23"/>
        <v>1.1489898989898939E-2</v>
      </c>
      <c r="M29" s="47">
        <f t="shared" si="24"/>
        <v>0.78459595959595962</v>
      </c>
      <c r="N29" s="47">
        <f t="shared" si="25"/>
        <v>0.21540404040404038</v>
      </c>
      <c r="O29" s="47">
        <f t="shared" si="2"/>
        <v>2.6892430478114477E-2</v>
      </c>
      <c r="P29" s="47">
        <f t="shared" si="3"/>
        <v>6.870959595959565E-3</v>
      </c>
      <c r="Q29" s="47">
        <f t="shared" si="4"/>
        <v>8.9351223006615771E-2</v>
      </c>
      <c r="R29" s="47">
        <f t="shared" si="5"/>
        <v>0.64192048346055963</v>
      </c>
      <c r="S29" s="47">
        <f t="shared" si="6"/>
        <v>0.30265486725663715</v>
      </c>
    </row>
    <row r="31" spans="1:25">
      <c r="B31" s="10" t="s">
        <v>398</v>
      </c>
    </row>
    <row r="32" spans="1:25">
      <c r="B32" s="10"/>
      <c r="F32" s="552">
        <f>O2</f>
        <v>15</v>
      </c>
      <c r="G32" s="552">
        <f>P2</f>
        <v>16</v>
      </c>
      <c r="H32" s="552">
        <f>Q2</f>
        <v>17</v>
      </c>
      <c r="I32" s="552">
        <f>R2</f>
        <v>18</v>
      </c>
      <c r="J32" s="552">
        <f>S2</f>
        <v>19</v>
      </c>
      <c r="K32" s="551">
        <f>'Interactive Effects'!C56</f>
        <v>3</v>
      </c>
      <c r="L32" s="551">
        <f>'Interactive Effects'!D56</f>
        <v>4</v>
      </c>
      <c r="M32" s="551">
        <f>'Interactive Effects'!E56</f>
        <v>5</v>
      </c>
      <c r="W32" s="551">
        <f>COLUMN()</f>
        <v>23</v>
      </c>
      <c r="X32" s="551">
        <f>COLUMN()</f>
        <v>24</v>
      </c>
      <c r="Y32" s="551">
        <f>COLUMN()</f>
        <v>25</v>
      </c>
    </row>
    <row r="33" spans="1:45">
      <c r="B33" s="10"/>
      <c r="F33" s="880" t="s">
        <v>391</v>
      </c>
      <c r="G33" s="880"/>
      <c r="H33" s="880"/>
      <c r="I33" s="880"/>
      <c r="J33" s="880"/>
      <c r="P33" s="879" t="s">
        <v>408</v>
      </c>
      <c r="Q33" s="879"/>
      <c r="R33" s="879"/>
      <c r="S33" s="879"/>
      <c r="T33" s="879"/>
      <c r="U33" s="879"/>
      <c r="V33" s="879"/>
      <c r="W33" s="879"/>
      <c r="X33" s="879"/>
      <c r="Y33" s="879"/>
      <c r="Z33" s="879" t="s">
        <v>451</v>
      </c>
      <c r="AA33" s="879"/>
      <c r="AB33" s="879"/>
      <c r="AC33" s="879"/>
      <c r="AD33" s="879"/>
      <c r="AE33" s="879"/>
      <c r="AF33" s="879"/>
      <c r="AG33" s="879"/>
      <c r="AH33" s="879"/>
      <c r="AI33" s="879"/>
      <c r="AJ33" s="879" t="s">
        <v>457</v>
      </c>
      <c r="AK33" s="879"/>
      <c r="AL33" s="879"/>
      <c r="AM33" s="879"/>
      <c r="AN33" s="879"/>
      <c r="AO33" s="879"/>
      <c r="AP33" s="879"/>
      <c r="AQ33" s="879"/>
      <c r="AR33" s="879"/>
      <c r="AS33" s="879"/>
    </row>
    <row r="34" spans="1:45">
      <c r="B34" s="10"/>
      <c r="F34" s="880" t="s">
        <v>390</v>
      </c>
      <c r="G34" s="880"/>
      <c r="H34" s="880" t="s">
        <v>17</v>
      </c>
      <c r="I34" s="880"/>
      <c r="J34" s="546" t="s">
        <v>384</v>
      </c>
      <c r="K34" s="880" t="s">
        <v>400</v>
      </c>
      <c r="L34" s="880"/>
      <c r="M34" s="880"/>
      <c r="N34" s="880" t="s">
        <v>403</v>
      </c>
      <c r="O34" s="880"/>
      <c r="Q34" s="880" t="s">
        <v>402</v>
      </c>
      <c r="R34" s="880"/>
      <c r="S34" s="880"/>
      <c r="T34" s="880" t="s">
        <v>404</v>
      </c>
      <c r="U34" s="880"/>
      <c r="V34" s="880"/>
      <c r="W34" s="880" t="s">
        <v>405</v>
      </c>
      <c r="X34" s="880"/>
      <c r="AA34" s="880" t="s">
        <v>402</v>
      </c>
      <c r="AB34" s="880"/>
      <c r="AC34" s="880"/>
      <c r="AD34" s="880" t="s">
        <v>404</v>
      </c>
      <c r="AE34" s="880"/>
      <c r="AF34" s="880"/>
      <c r="AG34" s="880" t="s">
        <v>405</v>
      </c>
      <c r="AH34" s="880"/>
      <c r="AK34" s="880" t="s">
        <v>402</v>
      </c>
      <c r="AL34" s="880"/>
      <c r="AM34" s="880"/>
      <c r="AN34" s="880" t="s">
        <v>404</v>
      </c>
      <c r="AO34" s="880"/>
      <c r="AP34" s="880"/>
      <c r="AQ34" s="880" t="s">
        <v>405</v>
      </c>
      <c r="AR34" s="880"/>
    </row>
    <row r="35" spans="1:45">
      <c r="B35" s="10"/>
      <c r="F35" s="45" t="s">
        <v>24</v>
      </c>
      <c r="G35" s="45" t="s">
        <v>25</v>
      </c>
      <c r="H35" s="45" t="s">
        <v>24</v>
      </c>
      <c r="I35" s="45" t="s">
        <v>25</v>
      </c>
      <c r="J35" s="45" t="s">
        <v>25</v>
      </c>
      <c r="K35" s="45" t="s">
        <v>178</v>
      </c>
      <c r="L35" s="45" t="s">
        <v>177</v>
      </c>
      <c r="M35" s="45" t="s">
        <v>179</v>
      </c>
      <c r="N35" s="45" t="s">
        <v>393</v>
      </c>
      <c r="O35" s="45" t="s">
        <v>172</v>
      </c>
      <c r="P35" s="45" t="s">
        <v>401</v>
      </c>
      <c r="Q35" s="45" t="s">
        <v>383</v>
      </c>
      <c r="R35" s="45" t="s">
        <v>17</v>
      </c>
      <c r="S35" s="45" t="s">
        <v>384</v>
      </c>
      <c r="T35" s="45" t="s">
        <v>406</v>
      </c>
      <c r="U35" s="45" t="s">
        <v>25</v>
      </c>
      <c r="V35" s="45" t="s">
        <v>407</v>
      </c>
      <c r="W35" s="45" t="s">
        <v>406</v>
      </c>
      <c r="X35" s="45" t="s">
        <v>25</v>
      </c>
      <c r="Y35" s="45" t="s">
        <v>407</v>
      </c>
      <c r="Z35" s="622" t="s">
        <v>401</v>
      </c>
      <c r="AA35" s="622" t="s">
        <v>383</v>
      </c>
      <c r="AB35" s="622" t="s">
        <v>17</v>
      </c>
      <c r="AC35" s="622" t="s">
        <v>384</v>
      </c>
      <c r="AD35" s="622" t="s">
        <v>406</v>
      </c>
      <c r="AE35" s="622" t="s">
        <v>25</v>
      </c>
      <c r="AF35" s="622" t="s">
        <v>407</v>
      </c>
      <c r="AG35" s="622" t="s">
        <v>406</v>
      </c>
      <c r="AH35" s="622" t="s">
        <v>25</v>
      </c>
      <c r="AI35" s="622" t="s">
        <v>407</v>
      </c>
      <c r="AJ35" s="627" t="s">
        <v>401</v>
      </c>
      <c r="AK35" s="627" t="s">
        <v>383</v>
      </c>
      <c r="AL35" s="627" t="s">
        <v>17</v>
      </c>
      <c r="AM35" s="627" t="s">
        <v>384</v>
      </c>
      <c r="AN35" s="627" t="s">
        <v>406</v>
      </c>
      <c r="AO35" s="627" t="s">
        <v>25</v>
      </c>
      <c r="AP35" s="627" t="s">
        <v>407</v>
      </c>
      <c r="AQ35" s="627" t="s">
        <v>406</v>
      </c>
      <c r="AR35" s="627" t="s">
        <v>25</v>
      </c>
      <c r="AS35" s="627" t="s">
        <v>407</v>
      </c>
    </row>
    <row r="36" spans="1:45">
      <c r="A36" s="551" t="str">
        <f>B36&amp;C36&amp;E36</f>
        <v>SCEResWorkpaper</v>
      </c>
      <c r="B36" s="45" t="s">
        <v>16</v>
      </c>
      <c r="C36" t="s">
        <v>206</v>
      </c>
      <c r="E36" t="s">
        <v>345</v>
      </c>
      <c r="F36" s="536">
        <f t="shared" ref="F36:J37" si="27">VLOOKUP($B36&amp;$C36&amp;"BaseWorkpaper",t.EARTeamUECCalcs,F$32,FALSE)-VLOOKUP($B36&amp;$C36&amp;"Measure"&amp;$E36,t.EARTeamUECCalcs,F$32,FALSE)</f>
        <v>0</v>
      </c>
      <c r="G36" s="536">
        <f t="shared" si="27"/>
        <v>-7.6696981679188134E-3</v>
      </c>
      <c r="H36" s="536">
        <f t="shared" si="27"/>
        <v>5.4423581178331355E-2</v>
      </c>
      <c r="I36" s="536">
        <f t="shared" si="27"/>
        <v>0.54839066824831972</v>
      </c>
      <c r="J36" s="536">
        <f t="shared" si="27"/>
        <v>-1.8000000000000016E-2</v>
      </c>
      <c r="K36" s="536">
        <f t="shared" ref="K36:M47" si="28">VLOOKUP($B36,t.OverallIEF,K$32,FALSE)</f>
        <v>1.0709</v>
      </c>
      <c r="L36" s="536">
        <f t="shared" si="28"/>
        <v>1.3839999999999999</v>
      </c>
      <c r="M36" s="536">
        <f t="shared" si="28"/>
        <v>-1.9179000000000002E-2</v>
      </c>
      <c r="N36" s="47">
        <v>0.2</v>
      </c>
      <c r="O36" s="47">
        <v>0.15</v>
      </c>
      <c r="P36" s="550">
        <f>Annual_Cycles!C4</f>
        <v>295</v>
      </c>
      <c r="Q36" s="536">
        <f t="shared" ref="Q36:Q47" si="29">G36*P36*v.EARCDF/365</f>
        <v>-3.1283649339064132E-4</v>
      </c>
      <c r="R36" s="536">
        <f t="shared" ref="R36:R47" si="30">I36*P36*v.EARCDF/365</f>
        <v>2.2368104964097572E-2</v>
      </c>
      <c r="S36" s="536">
        <f t="shared" ref="S36:S47" si="31">J36*P36*v.EARCDF/365</f>
        <v>-7.3419536958904176E-4</v>
      </c>
      <c r="T36" s="547">
        <f>(S36+R36*N36)*K36+Q36+R36*(1-N36)</f>
        <v>2.1586198377804927E-2</v>
      </c>
      <c r="U36" s="536">
        <f>(J36+I36*N36)*L36+G36+I36*(1-N36)</f>
        <v>0.55792537340187187</v>
      </c>
      <c r="V36" s="547">
        <f>(J36+I36*N36)*M36+F36+H36</f>
        <v>5.266528625306445E-2</v>
      </c>
      <c r="W36" s="547">
        <f>T36</f>
        <v>2.1586198377804927E-2</v>
      </c>
      <c r="X36" s="549">
        <f t="shared" ref="X36:Y37" si="32">U36*$P36</f>
        <v>164.58798515355221</v>
      </c>
      <c r="Y36" s="47">
        <f t="shared" si="32"/>
        <v>15.536259444654013</v>
      </c>
      <c r="Z36" s="550">
        <v>269</v>
      </c>
      <c r="AA36" s="536">
        <f t="shared" ref="AA36:AA47" si="33">$G36*Z36*v.EARCDF/365</f>
        <v>-2.8526446346468652E-4</v>
      </c>
      <c r="AB36" s="536">
        <f t="shared" ref="AB36:AB47" si="34">$I36*Z36*v.EARCDF/365</f>
        <v>2.0396678763872023E-2</v>
      </c>
      <c r="AC36" s="536">
        <f t="shared" ref="AC36:AC47" si="35">$J36*Z36*v.EARCDF/365</f>
        <v>-6.694866251506854E-4</v>
      </c>
      <c r="AD36" s="547">
        <f>(AC36+AB36*$N36)*$K36+AA36+AB36*(1-$N36)</f>
        <v>1.9683685978405172E-2</v>
      </c>
      <c r="AE36" s="536">
        <f>($J36+$I36*$N36)*$L36+$G36+$I36*(1-$N36)</f>
        <v>0.55792537340187187</v>
      </c>
      <c r="AF36" s="547">
        <f>($J36+$I36*$N36)*$M36+$F36+$H36</f>
        <v>5.266528625306445E-2</v>
      </c>
      <c r="AG36" s="547">
        <f>AD36</f>
        <v>1.9683685978405172E-2</v>
      </c>
      <c r="AH36" s="549">
        <f>AE36*Z36</f>
        <v>150.08192544510354</v>
      </c>
      <c r="AI36" s="47">
        <f>AF36*Z36</f>
        <v>14.166962002074337</v>
      </c>
      <c r="AJ36" s="550">
        <v>243</v>
      </c>
      <c r="AK36" s="536">
        <f t="shared" ref="AK36:AK47" si="36">$G36*AJ36*v.EARCDF/365</f>
        <v>-2.5769243353873173E-4</v>
      </c>
      <c r="AL36" s="536">
        <f t="shared" ref="AL36:AL47" si="37">$I36*AJ36*v.EARCDF/365</f>
        <v>1.8425252563646476E-2</v>
      </c>
      <c r="AM36" s="536">
        <f t="shared" ref="AM36:AM47" si="38">$J36*AJ36*v.EARCDF/365</f>
        <v>-6.0477788071232937E-4</v>
      </c>
      <c r="AN36" s="547">
        <f>(AM36+AL36*$N36)*$K36+AK36+AL36*(1-$N36)</f>
        <v>1.7781173579005417E-2</v>
      </c>
      <c r="AO36" s="536">
        <f>($J36+$I36*$N36)*$L36+$G36+$I36*(1-$N36)</f>
        <v>0.55792537340187187</v>
      </c>
      <c r="AP36" s="547">
        <f>($J36+$I36*$N36)*$M36+$F36+$H36</f>
        <v>5.266528625306445E-2</v>
      </c>
      <c r="AQ36" s="547">
        <f>AN36</f>
        <v>1.7781173579005417E-2</v>
      </c>
      <c r="AR36" s="549">
        <f>AO36*AJ36</f>
        <v>135.57586573665486</v>
      </c>
      <c r="AS36" s="47">
        <f>AP36*AJ36</f>
        <v>12.797664559494661</v>
      </c>
    </row>
    <row r="37" spans="1:45">
      <c r="A37" s="551" t="str">
        <f t="shared" ref="A37:A47" si="39">B37&amp;C37&amp;E37</f>
        <v>SCEResEARAdj1</v>
      </c>
      <c r="B37" s="45" t="s">
        <v>16</v>
      </c>
      <c r="C37" t="s">
        <v>206</v>
      </c>
      <c r="E37" s="45" t="s">
        <v>399</v>
      </c>
      <c r="F37" s="536">
        <f t="shared" si="27"/>
        <v>2.600107538333115E-3</v>
      </c>
      <c r="G37" s="536">
        <f t="shared" si="27"/>
        <v>-1.2550415183867139E-3</v>
      </c>
      <c r="H37" s="536">
        <f t="shared" si="27"/>
        <v>1.8847632201727152E-2</v>
      </c>
      <c r="I37" s="536">
        <f t="shared" si="27"/>
        <v>0.18927096067298732</v>
      </c>
      <c r="J37" s="536">
        <f t="shared" si="27"/>
        <v>-9.2654867256637158E-2</v>
      </c>
      <c r="K37" s="536">
        <f t="shared" si="28"/>
        <v>1.0709</v>
      </c>
      <c r="L37" s="536">
        <f t="shared" si="28"/>
        <v>1.3839999999999999</v>
      </c>
      <c r="M37" s="536">
        <f t="shared" si="28"/>
        <v>-1.9179000000000002E-2</v>
      </c>
      <c r="N37" s="47">
        <v>0.2</v>
      </c>
      <c r="O37" s="47">
        <v>0.15</v>
      </c>
      <c r="P37" s="550">
        <f>P36</f>
        <v>295</v>
      </c>
      <c r="Q37" s="536">
        <f t="shared" si="29"/>
        <v>-5.1191426191195818E-5</v>
      </c>
      <c r="R37" s="536">
        <f t="shared" si="30"/>
        <v>7.7201034957653783E-3</v>
      </c>
      <c r="S37" s="536">
        <f t="shared" si="31"/>
        <v>-3.7792652505394585E-3</v>
      </c>
      <c r="T37" s="547">
        <f>(S37+R37*N37)*K37+Q37+R37*(1-N37)</f>
        <v>3.7311679803414301E-3</v>
      </c>
      <c r="U37" s="536">
        <f>(J37+I37*N37)*L37+G37+I37*(1-N37)</f>
        <v>7.4317592651100217E-2</v>
      </c>
      <c r="V37" s="547">
        <f>(J37+I37*N37)*M37+F37+H37</f>
        <v>2.2498761888225867E-2</v>
      </c>
      <c r="W37" s="547">
        <f t="shared" ref="W37" si="40">T37</f>
        <v>3.7311679803414301E-3</v>
      </c>
      <c r="X37" s="549">
        <f t="shared" si="32"/>
        <v>21.923689832074565</v>
      </c>
      <c r="Y37" s="47">
        <f t="shared" si="32"/>
        <v>6.6371347570266304</v>
      </c>
      <c r="Z37" s="550">
        <f>Z36</f>
        <v>269</v>
      </c>
      <c r="AA37" s="536">
        <f t="shared" si="33"/>
        <v>-4.667963947603957E-5</v>
      </c>
      <c r="AB37" s="536">
        <f t="shared" si="34"/>
        <v>7.039687594443682E-3</v>
      </c>
      <c r="AC37" s="536">
        <f t="shared" si="35"/>
        <v>-3.4461774657461508E-3</v>
      </c>
      <c r="AD37" s="547">
        <f t="shared" ref="AD37:AD47" si="41">(AC37+AB37*$N37)*$K37+AA37+AB37*(1-$N37)</f>
        <v>3.4023192769893013E-3</v>
      </c>
      <c r="AE37" s="536">
        <f t="shared" ref="AE37:AE47" si="42">($J37+$I37*$N37)*$L37+$G37+$I37*(1-$N37)</f>
        <v>7.4317592651100217E-2</v>
      </c>
      <c r="AF37" s="547">
        <f t="shared" ref="AF37:AF47" si="43">($J37+$I37*$N37)*$M37+$F37+$H37</f>
        <v>2.2498761888225867E-2</v>
      </c>
      <c r="AG37" s="547">
        <f t="shared" ref="AG37:AG47" si="44">AD37</f>
        <v>3.4023192769893013E-3</v>
      </c>
      <c r="AH37" s="549">
        <f t="shared" ref="AH37:AH47" si="45">AE37*Z37</f>
        <v>19.991432423145959</v>
      </c>
      <c r="AI37" s="47">
        <f t="shared" ref="AI37:AI47" si="46">AF37*Z37</f>
        <v>6.0521669479327578</v>
      </c>
      <c r="AJ37" s="550">
        <f>AJ36</f>
        <v>243</v>
      </c>
      <c r="AK37" s="536">
        <f t="shared" si="36"/>
        <v>-4.2167852760883336E-5</v>
      </c>
      <c r="AL37" s="536">
        <f t="shared" si="37"/>
        <v>6.3592716931219883E-3</v>
      </c>
      <c r="AM37" s="536">
        <f t="shared" si="38"/>
        <v>-3.1130896809528422E-3</v>
      </c>
      <c r="AN37" s="547">
        <f t="shared" ref="AN37:AN47" si="47">(AM37+AL37*$N37)*$K37+AK37+AL37*(1-$N37)</f>
        <v>3.0734705736371773E-3</v>
      </c>
      <c r="AO37" s="536">
        <f t="shared" ref="AO37:AO47" si="48">($J37+$I37*$N37)*$L37+$G37+$I37*(1-$N37)</f>
        <v>7.4317592651100217E-2</v>
      </c>
      <c r="AP37" s="547">
        <f t="shared" ref="AP37:AP47" si="49">($J37+$I37*$N37)*$M37+$F37+$H37</f>
        <v>2.2498761888225867E-2</v>
      </c>
      <c r="AQ37" s="547">
        <f t="shared" ref="AQ37:AQ47" si="50">AN37</f>
        <v>3.0734705736371773E-3</v>
      </c>
      <c r="AR37" s="549">
        <f t="shared" ref="AR37:AR47" si="51">AO37*AJ37</f>
        <v>18.059175014217352</v>
      </c>
      <c r="AS37" s="47">
        <f t="shared" ref="AS37:AS47" si="52">AP37*AJ37</f>
        <v>5.4671991388388861</v>
      </c>
    </row>
    <row r="38" spans="1:45">
      <c r="A38" s="551" t="str">
        <f t="shared" si="39"/>
        <v>SCEResNoRepl</v>
      </c>
      <c r="B38" s="45" t="s">
        <v>16</v>
      </c>
      <c r="C38" t="s">
        <v>206</v>
      </c>
      <c r="E38" s="45" t="s">
        <v>411</v>
      </c>
      <c r="F38" s="536">
        <f>VLOOKUP($B38&amp;$C38&amp;"BaseWorkpaper",t.EARTeamUECCalcs,F$32,FALSE)</f>
        <v>2.790826413602214E-2</v>
      </c>
      <c r="G38" s="536">
        <f>VLOOKUP($B38&amp;$C38&amp;"BaseWorkpaper",t.EARTeamUECCalcs,G$32,FALSE)</f>
        <v>4.0440226703571926E-2</v>
      </c>
      <c r="H38" s="536">
        <f>VLOOKUP($B38&amp;$C38&amp;"BaseWorkpaper",t.EARTeamUECCalcs,H$32,FALSE)</f>
        <v>0.10102807433768288</v>
      </c>
      <c r="I38" s="536">
        <f>VLOOKUP($B38&amp;$C38&amp;"BaseWorkpaper",t.EARTeamUECCalcs,I$32,FALSE)</f>
        <v>1.018837485172005</v>
      </c>
      <c r="J38" s="536">
        <f>VLOOKUP($B38&amp;$C38&amp;"BaseWorkpaper",t.EARTeamUECCalcs,J$32,FALSE)</f>
        <v>0.21</v>
      </c>
      <c r="K38" s="536">
        <f t="shared" si="28"/>
        <v>1.0709</v>
      </c>
      <c r="L38" s="536">
        <f t="shared" si="28"/>
        <v>1.3839999999999999</v>
      </c>
      <c r="M38" s="536">
        <f t="shared" si="28"/>
        <v>-1.9179000000000002E-2</v>
      </c>
      <c r="N38" s="47">
        <v>0.2</v>
      </c>
      <c r="O38" s="47">
        <v>0.15</v>
      </c>
      <c r="P38" s="550">
        <f t="shared" ref="P38:P47" si="53">P37</f>
        <v>295</v>
      </c>
      <c r="Q38" s="536">
        <f t="shared" si="29"/>
        <v>1.6495015106051997E-3</v>
      </c>
      <c r="R38" s="536">
        <f t="shared" si="30"/>
        <v>4.1556986887612744E-2</v>
      </c>
      <c r="S38" s="536">
        <f t="shared" si="31"/>
        <v>8.5656126452054795E-3</v>
      </c>
      <c r="T38" s="547">
        <f t="shared" ref="T38:T47" si="54">(S38+R38*N38)*K38+Q38+R38*(1-N38)</f>
        <v>5.2968681054034843E-2</v>
      </c>
      <c r="U38" s="536">
        <f t="shared" ref="U38:U47" si="55">(J38+I38*N38)*L38+G38+I38*(1-N38)</f>
        <v>1.4281644307367869</v>
      </c>
      <c r="V38" s="547">
        <f t="shared" ref="V38:V47" si="56">(J38+I38*N38)*M38+F38+H38</f>
        <v>0.12100069164808225</v>
      </c>
      <c r="W38" s="547">
        <f t="shared" ref="W38:W47" si="57">T38</f>
        <v>5.2968681054034843E-2</v>
      </c>
      <c r="X38" s="549">
        <f t="shared" ref="X38:X47" si="58">U38*$P38</f>
        <v>421.30850706735214</v>
      </c>
      <c r="Y38" s="47">
        <f t="shared" ref="Y38:Y47" si="59">V38*$P38</f>
        <v>35.695204036184265</v>
      </c>
      <c r="Z38" s="550">
        <f t="shared" ref="Z38:Z47" si="60">Z37</f>
        <v>269</v>
      </c>
      <c r="AA38" s="536">
        <f t="shared" si="33"/>
        <v>1.504121716450165E-3</v>
      </c>
      <c r="AB38" s="536">
        <f t="shared" si="34"/>
        <v>3.789433719582315E-2</v>
      </c>
      <c r="AC38" s="536">
        <f t="shared" si="35"/>
        <v>7.8106772934246563E-3</v>
      </c>
      <c r="AD38" s="547">
        <f t="shared" si="41"/>
        <v>4.8300254927238551E-2</v>
      </c>
      <c r="AE38" s="536">
        <f t="shared" si="42"/>
        <v>1.4281644307367869</v>
      </c>
      <c r="AF38" s="547">
        <f t="shared" si="43"/>
        <v>0.12100069164808225</v>
      </c>
      <c r="AG38" s="547">
        <f t="shared" si="44"/>
        <v>4.8300254927238551E-2</v>
      </c>
      <c r="AH38" s="549">
        <f t="shared" si="45"/>
        <v>384.17623186819566</v>
      </c>
      <c r="AI38" s="47">
        <f t="shared" si="46"/>
        <v>32.549186053334125</v>
      </c>
      <c r="AJ38" s="550">
        <f t="shared" ref="AJ38:AJ47" si="61">AJ37</f>
        <v>243</v>
      </c>
      <c r="AK38" s="536">
        <f t="shared" si="36"/>
        <v>1.3587419222951308E-3</v>
      </c>
      <c r="AL38" s="536">
        <f t="shared" si="37"/>
        <v>3.4231687504033541E-2</v>
      </c>
      <c r="AM38" s="536">
        <f t="shared" si="38"/>
        <v>7.0557419416438349E-3</v>
      </c>
      <c r="AN38" s="547">
        <f t="shared" si="47"/>
        <v>4.3631828800442252E-2</v>
      </c>
      <c r="AO38" s="536">
        <f t="shared" si="48"/>
        <v>1.4281644307367869</v>
      </c>
      <c r="AP38" s="547">
        <f t="shared" si="49"/>
        <v>0.12100069164808225</v>
      </c>
      <c r="AQ38" s="547">
        <f t="shared" si="50"/>
        <v>4.3631828800442252E-2</v>
      </c>
      <c r="AR38" s="549">
        <f t="shared" si="51"/>
        <v>347.04395666903923</v>
      </c>
      <c r="AS38" s="47">
        <f t="shared" si="52"/>
        <v>29.403168070483986</v>
      </c>
    </row>
    <row r="39" spans="1:45">
      <c r="A39" s="551" t="str">
        <f t="shared" si="39"/>
        <v>PGEResWorkpaper</v>
      </c>
      <c r="B39" s="45" t="s">
        <v>237</v>
      </c>
      <c r="C39" t="s">
        <v>206</v>
      </c>
      <c r="E39" t="s">
        <v>345</v>
      </c>
      <c r="F39" s="536">
        <f t="shared" ref="F39:J40" si="62">VLOOKUP($B39&amp;$C39&amp;"BaseWorkpaper",t.EARTeamUECCalcs,F$32,FALSE)-VLOOKUP($B39&amp;$C39&amp;"Measure"&amp;$E39,t.EARTeamUECCalcs,F$32,FALSE)</f>
        <v>0</v>
      </c>
      <c r="G39" s="536">
        <f t="shared" si="62"/>
        <v>-2.0553804592525881E-3</v>
      </c>
      <c r="H39" s="536">
        <f t="shared" si="62"/>
        <v>3.0510027511931565E-2</v>
      </c>
      <c r="I39" s="536">
        <f t="shared" si="62"/>
        <v>1.1730414227825303</v>
      </c>
      <c r="J39" s="536">
        <f t="shared" si="62"/>
        <v>-1.8000000000000016E-2</v>
      </c>
      <c r="K39" s="536">
        <f t="shared" si="28"/>
        <v>1.0226999999999999</v>
      </c>
      <c r="L39" s="536">
        <f t="shared" si="28"/>
        <v>1.3498000000000001</v>
      </c>
      <c r="M39" s="536">
        <f t="shared" si="28"/>
        <v>-2.3993E-2</v>
      </c>
      <c r="N39" s="47">
        <v>0.2</v>
      </c>
      <c r="O39" s="47">
        <v>0.15</v>
      </c>
      <c r="P39" s="550">
        <f t="shared" si="53"/>
        <v>295</v>
      </c>
      <c r="Q39" s="536">
        <f t="shared" si="29"/>
        <v>-8.3836156440391486E-5</v>
      </c>
      <c r="R39" s="536">
        <f t="shared" si="30"/>
        <v>4.7846754496837472E-2</v>
      </c>
      <c r="S39" s="536">
        <f t="shared" si="31"/>
        <v>-7.3419536958904176E-4</v>
      </c>
      <c r="T39" s="547">
        <f t="shared" si="54"/>
        <v>4.7229281001334007E-2</v>
      </c>
      <c r="U39" s="536">
        <f t="shared" si="55"/>
        <v>1.2287556202611436</v>
      </c>
      <c r="V39" s="547">
        <f t="shared" si="56"/>
        <v>2.5312944940567315E-2</v>
      </c>
      <c r="W39" s="547">
        <f t="shared" si="57"/>
        <v>4.7229281001334007E-2</v>
      </c>
      <c r="X39" s="549">
        <f t="shared" si="58"/>
        <v>362.48290797703737</v>
      </c>
      <c r="Y39" s="47">
        <f t="shared" si="59"/>
        <v>7.4673187574673578</v>
      </c>
      <c r="Z39" s="550">
        <f t="shared" si="60"/>
        <v>269</v>
      </c>
      <c r="AA39" s="536">
        <f t="shared" si="33"/>
        <v>-7.644720705920444E-5</v>
      </c>
      <c r="AB39" s="536">
        <f t="shared" si="34"/>
        <v>4.3629752405590777E-2</v>
      </c>
      <c r="AC39" s="536">
        <f t="shared" si="35"/>
        <v>-6.694866251506854E-4</v>
      </c>
      <c r="AD39" s="547">
        <f t="shared" si="41"/>
        <v>4.3066700302911348E-2</v>
      </c>
      <c r="AE39" s="536">
        <f t="shared" si="42"/>
        <v>1.2287556202611436</v>
      </c>
      <c r="AF39" s="547">
        <f t="shared" si="43"/>
        <v>2.5312944940567315E-2</v>
      </c>
      <c r="AG39" s="547">
        <f t="shared" si="44"/>
        <v>4.3066700302911348E-2</v>
      </c>
      <c r="AH39" s="549">
        <f t="shared" si="45"/>
        <v>330.53526185024765</v>
      </c>
      <c r="AI39" s="47">
        <f t="shared" si="46"/>
        <v>6.8091821890126081</v>
      </c>
      <c r="AJ39" s="550">
        <f t="shared" si="61"/>
        <v>243</v>
      </c>
      <c r="AK39" s="536">
        <f t="shared" si="36"/>
        <v>-6.9058257678017394E-5</v>
      </c>
      <c r="AL39" s="536">
        <f t="shared" si="37"/>
        <v>3.9412750314344089E-2</v>
      </c>
      <c r="AM39" s="536">
        <f t="shared" si="38"/>
        <v>-6.0477788071232937E-4</v>
      </c>
      <c r="AN39" s="547">
        <f t="shared" si="47"/>
        <v>3.8904119604488696E-2</v>
      </c>
      <c r="AO39" s="536">
        <f t="shared" si="48"/>
        <v>1.2287556202611436</v>
      </c>
      <c r="AP39" s="547">
        <f t="shared" si="49"/>
        <v>2.5312944940567315E-2</v>
      </c>
      <c r="AQ39" s="547">
        <f t="shared" si="50"/>
        <v>3.8904119604488696E-2</v>
      </c>
      <c r="AR39" s="549">
        <f t="shared" si="51"/>
        <v>298.58761572345787</v>
      </c>
      <c r="AS39" s="47">
        <f t="shared" si="52"/>
        <v>6.1510456205578574</v>
      </c>
    </row>
    <row r="40" spans="1:45">
      <c r="A40" s="551" t="str">
        <f t="shared" si="39"/>
        <v>PGEResEARAdj1</v>
      </c>
      <c r="B40" s="45" t="s">
        <v>237</v>
      </c>
      <c r="C40" t="s">
        <v>206</v>
      </c>
      <c r="E40" s="45" t="s">
        <v>399</v>
      </c>
      <c r="F40" s="536">
        <f t="shared" si="62"/>
        <v>2.7427615668617761E-3</v>
      </c>
      <c r="G40" s="536">
        <f t="shared" si="62"/>
        <v>-3.3633498424133317E-4</v>
      </c>
      <c r="H40" s="536">
        <f t="shared" si="62"/>
        <v>1.0566040759523082E-2</v>
      </c>
      <c r="I40" s="536">
        <f t="shared" si="62"/>
        <v>0.40486224484535205</v>
      </c>
      <c r="J40" s="536">
        <f t="shared" si="62"/>
        <v>-9.2654867256637158E-2</v>
      </c>
      <c r="K40" s="536">
        <f t="shared" si="28"/>
        <v>1.0226999999999999</v>
      </c>
      <c r="L40" s="536">
        <f t="shared" si="28"/>
        <v>1.3498000000000001</v>
      </c>
      <c r="M40" s="536">
        <f t="shared" si="28"/>
        <v>-2.3993E-2</v>
      </c>
      <c r="N40" s="47">
        <v>0.2</v>
      </c>
      <c r="O40" s="47">
        <v>0.15</v>
      </c>
      <c r="P40" s="550">
        <f t="shared" si="53"/>
        <v>295</v>
      </c>
      <c r="Q40" s="536">
        <f t="shared" si="29"/>
        <v>-1.3718643781154994E-5</v>
      </c>
      <c r="R40" s="536">
        <f t="shared" si="30"/>
        <v>1.6513776971493449E-2</v>
      </c>
      <c r="S40" s="536">
        <f t="shared" si="31"/>
        <v>-3.7792652505394585E-3</v>
      </c>
      <c r="T40" s="547">
        <f t="shared" si="54"/>
        <v>1.2709976303436172E-2</v>
      </c>
      <c r="U40" s="536">
        <f t="shared" si="55"/>
        <v>0.30778453268748274</v>
      </c>
      <c r="V40" s="547">
        <f t="shared" si="56"/>
        <v>1.3589098588358446E-2</v>
      </c>
      <c r="W40" s="547">
        <f t="shared" si="57"/>
        <v>1.2709976303436172E-2</v>
      </c>
      <c r="X40" s="549">
        <f t="shared" si="58"/>
        <v>90.796437142807406</v>
      </c>
      <c r="Y40" s="47">
        <f t="shared" si="59"/>
        <v>4.0087840835657413</v>
      </c>
      <c r="Z40" s="550">
        <f t="shared" si="60"/>
        <v>269</v>
      </c>
      <c r="AA40" s="536">
        <f t="shared" si="33"/>
        <v>-1.2509542973324383E-5</v>
      </c>
      <c r="AB40" s="536">
        <f t="shared" si="34"/>
        <v>1.5058325441802502E-2</v>
      </c>
      <c r="AC40" s="536">
        <f t="shared" si="35"/>
        <v>-3.4461774657461508E-3</v>
      </c>
      <c r="AD40" s="547">
        <f t="shared" si="41"/>
        <v>1.1589775002116373E-2</v>
      </c>
      <c r="AE40" s="536">
        <f t="shared" si="42"/>
        <v>0.30778453268748274</v>
      </c>
      <c r="AF40" s="547">
        <f t="shared" si="43"/>
        <v>1.3589098588358446E-2</v>
      </c>
      <c r="AG40" s="547">
        <f t="shared" si="44"/>
        <v>1.1589775002116373E-2</v>
      </c>
      <c r="AH40" s="549">
        <f t="shared" si="45"/>
        <v>82.794039292932851</v>
      </c>
      <c r="AI40" s="47">
        <f t="shared" si="46"/>
        <v>3.6554675202684219</v>
      </c>
      <c r="AJ40" s="550">
        <f t="shared" si="61"/>
        <v>243</v>
      </c>
      <c r="AK40" s="536">
        <f t="shared" si="36"/>
        <v>-1.1300442165493776E-5</v>
      </c>
      <c r="AL40" s="536">
        <f t="shared" si="37"/>
        <v>1.3602873912111554E-2</v>
      </c>
      <c r="AM40" s="536">
        <f t="shared" si="38"/>
        <v>-3.1130896809528422E-3</v>
      </c>
      <c r="AN40" s="547">
        <f t="shared" si="47"/>
        <v>1.0469573700796575E-2</v>
      </c>
      <c r="AO40" s="536">
        <f t="shared" si="48"/>
        <v>0.30778453268748274</v>
      </c>
      <c r="AP40" s="547">
        <f t="shared" si="49"/>
        <v>1.3589098588358446E-2</v>
      </c>
      <c r="AQ40" s="547">
        <f t="shared" si="50"/>
        <v>1.0469573700796575E-2</v>
      </c>
      <c r="AR40" s="549">
        <f t="shared" si="51"/>
        <v>74.79164144305831</v>
      </c>
      <c r="AS40" s="47">
        <f t="shared" si="52"/>
        <v>3.3021509569711025</v>
      </c>
    </row>
    <row r="41" spans="1:45">
      <c r="A41" s="551" t="str">
        <f t="shared" si="39"/>
        <v>PGEResNoRepl</v>
      </c>
      <c r="B41" s="45" t="s">
        <v>237</v>
      </c>
      <c r="C41" t="s">
        <v>206</v>
      </c>
      <c r="E41" s="45" t="s">
        <v>411</v>
      </c>
      <c r="F41" s="536">
        <f>VLOOKUP($B41&amp;$C41&amp;"BaseWorkpaper",t.EARTeamUECCalcs,F$32,FALSE)</f>
        <v>2.9439441692931112E-2</v>
      </c>
      <c r="G41" s="536">
        <f>VLOOKUP($B41&amp;$C41&amp;"BaseWorkpaper",t.EARTeamUECCalcs,G$32,FALSE)</f>
        <v>1.0837460603331834E-2</v>
      </c>
      <c r="H41" s="536">
        <f>VLOOKUP($B41&amp;$C41&amp;"BaseWorkpaper",t.EARTeamUECCalcs,H$32,FALSE)</f>
        <v>5.6636650157586677E-2</v>
      </c>
      <c r="I41" s="536">
        <f>VLOOKUP($B41&amp;$C41&amp;"BaseWorkpaper",t.EARTeamUECCalcs,I$32,FALSE)</f>
        <v>2.179356145880234</v>
      </c>
      <c r="J41" s="536">
        <f>VLOOKUP($B41&amp;$C41&amp;"BaseWorkpaper",t.EARTeamUECCalcs,J$32,FALSE)</f>
        <v>0.21</v>
      </c>
      <c r="K41" s="536">
        <f t="shared" si="28"/>
        <v>1.0226999999999999</v>
      </c>
      <c r="L41" s="536">
        <f t="shared" si="28"/>
        <v>1.3498000000000001</v>
      </c>
      <c r="M41" s="536">
        <f t="shared" si="28"/>
        <v>-2.3993E-2</v>
      </c>
      <c r="N41" s="47">
        <v>0.2</v>
      </c>
      <c r="O41" s="47">
        <v>0.15</v>
      </c>
      <c r="P41" s="550">
        <f t="shared" si="53"/>
        <v>295</v>
      </c>
      <c r="Q41" s="536">
        <f t="shared" si="29"/>
        <v>4.4204518850388271E-4</v>
      </c>
      <c r="R41" s="536">
        <f t="shared" si="30"/>
        <v>8.889295505503815E-2</v>
      </c>
      <c r="S41" s="536">
        <f t="shared" si="31"/>
        <v>8.5656126452054795E-3</v>
      </c>
      <c r="T41" s="547">
        <f t="shared" si="54"/>
        <v>9.8498626311743553E-2</v>
      </c>
      <c r="U41" s="536">
        <f t="shared" si="55"/>
        <v>2.6261193624493471</v>
      </c>
      <c r="V41" s="547">
        <f t="shared" si="56"/>
        <v>7.0579703448896899E-2</v>
      </c>
      <c r="W41" s="547">
        <f t="shared" si="57"/>
        <v>9.8498626311743553E-2</v>
      </c>
      <c r="X41" s="549">
        <f t="shared" si="58"/>
        <v>774.7052119225574</v>
      </c>
      <c r="Y41" s="47">
        <f t="shared" si="59"/>
        <v>20.821012517424585</v>
      </c>
      <c r="Z41" s="550">
        <f t="shared" si="60"/>
        <v>269</v>
      </c>
      <c r="AA41" s="536">
        <f t="shared" si="33"/>
        <v>4.030852735848964E-4</v>
      </c>
      <c r="AB41" s="536">
        <f t="shared" si="34"/>
        <v>8.1058321728153415E-2</v>
      </c>
      <c r="AC41" s="536">
        <f t="shared" si="35"/>
        <v>7.8106772934246563E-3</v>
      </c>
      <c r="AD41" s="547">
        <f t="shared" si="41"/>
        <v>8.981739145036953E-2</v>
      </c>
      <c r="AE41" s="536">
        <f t="shared" si="42"/>
        <v>2.6261193624493471</v>
      </c>
      <c r="AF41" s="547">
        <f t="shared" si="43"/>
        <v>7.0579703448896899E-2</v>
      </c>
      <c r="AG41" s="547">
        <f t="shared" si="44"/>
        <v>8.981739145036953E-2</v>
      </c>
      <c r="AH41" s="549">
        <f t="shared" si="45"/>
        <v>706.42610849887433</v>
      </c>
      <c r="AI41" s="47">
        <f t="shared" si="46"/>
        <v>18.985940227753265</v>
      </c>
      <c r="AJ41" s="550">
        <f t="shared" si="61"/>
        <v>243</v>
      </c>
      <c r="AK41" s="536">
        <f t="shared" si="36"/>
        <v>3.6412535866591015E-4</v>
      </c>
      <c r="AL41" s="536">
        <f t="shared" si="37"/>
        <v>7.3223688401268708E-2</v>
      </c>
      <c r="AM41" s="536">
        <f t="shared" si="38"/>
        <v>7.0557419416438349E-3</v>
      </c>
      <c r="AN41" s="547">
        <f t="shared" si="47"/>
        <v>8.1136156588995534E-2</v>
      </c>
      <c r="AO41" s="536">
        <f t="shared" si="48"/>
        <v>2.6261193624493471</v>
      </c>
      <c r="AP41" s="547">
        <f t="shared" si="49"/>
        <v>7.0579703448896899E-2</v>
      </c>
      <c r="AQ41" s="547">
        <f t="shared" si="50"/>
        <v>8.1136156588995534E-2</v>
      </c>
      <c r="AR41" s="549">
        <f t="shared" si="51"/>
        <v>638.14700507519137</v>
      </c>
      <c r="AS41" s="47">
        <f t="shared" si="52"/>
        <v>17.150867938081948</v>
      </c>
    </row>
    <row r="42" spans="1:45">
      <c r="A42" s="551" t="str">
        <f t="shared" si="39"/>
        <v>SDGEResWorkpaper</v>
      </c>
      <c r="B42" s="45" t="s">
        <v>395</v>
      </c>
      <c r="C42" t="s">
        <v>206</v>
      </c>
      <c r="E42" t="s">
        <v>345</v>
      </c>
      <c r="F42" s="536">
        <f t="shared" ref="F42:J43" si="63">VLOOKUP($B42&amp;$C42&amp;"BaseWorkpaper",t.EARTeamUECCalcs,F$32,FALSE)-VLOOKUP($B42&amp;$C42&amp;"Measure"&amp;$E42,t.EARTeamUECCalcs,F$32,FALSE)</f>
        <v>0</v>
      </c>
      <c r="G42" s="536">
        <f t="shared" si="63"/>
        <v>-2.5710479988783116E-3</v>
      </c>
      <c r="H42" s="536">
        <f t="shared" si="63"/>
        <v>5.0765608340170437E-2</v>
      </c>
      <c r="I42" s="536">
        <f t="shared" si="63"/>
        <v>0.6439413139322937</v>
      </c>
      <c r="J42" s="536">
        <f t="shared" si="63"/>
        <v>-1.8000000000000016E-2</v>
      </c>
      <c r="K42" s="536">
        <f t="shared" si="28"/>
        <v>1.0327</v>
      </c>
      <c r="L42" s="536">
        <f t="shared" si="28"/>
        <v>1.2764</v>
      </c>
      <c r="M42" s="536">
        <f t="shared" si="28"/>
        <v>-1.7606E-2</v>
      </c>
      <c r="N42" s="47">
        <v>0.2</v>
      </c>
      <c r="O42" s="47">
        <v>0.15</v>
      </c>
      <c r="P42" s="550">
        <f t="shared" si="53"/>
        <v>295</v>
      </c>
      <c r="Q42" s="536">
        <f t="shared" si="29"/>
        <v>-1.0486952976486814E-4</v>
      </c>
      <c r="R42" s="536">
        <f t="shared" si="30"/>
        <v>2.6265485054231839E-2</v>
      </c>
      <c r="S42" s="536">
        <f t="shared" si="31"/>
        <v>-7.3419536958904176E-4</v>
      </c>
      <c r="T42" s="547">
        <f t="shared" si="54"/>
        <v>2.5574188238547044E-2</v>
      </c>
      <c r="U42" s="536">
        <f t="shared" si="55"/>
        <v>0.65399214176759257</v>
      </c>
      <c r="V42" s="547">
        <f t="shared" si="56"/>
        <v>4.8815070185552048E-2</v>
      </c>
      <c r="W42" s="547">
        <f t="shared" si="57"/>
        <v>2.5574188238547044E-2</v>
      </c>
      <c r="X42" s="549">
        <f t="shared" si="58"/>
        <v>192.92768182143982</v>
      </c>
      <c r="Y42" s="47">
        <f t="shared" si="59"/>
        <v>14.400445704737853</v>
      </c>
      <c r="Z42" s="550">
        <f t="shared" si="60"/>
        <v>269</v>
      </c>
      <c r="AA42" s="536">
        <f t="shared" si="33"/>
        <v>-9.5626791548303488E-5</v>
      </c>
      <c r="AB42" s="536">
        <f t="shared" si="34"/>
        <v>2.3950560947757167E-2</v>
      </c>
      <c r="AC42" s="536">
        <f t="shared" si="35"/>
        <v>-6.694866251506854E-4</v>
      </c>
      <c r="AD42" s="547">
        <f t="shared" si="41"/>
        <v>2.3320191987014086E-2</v>
      </c>
      <c r="AE42" s="536">
        <f t="shared" si="42"/>
        <v>0.65399214176759257</v>
      </c>
      <c r="AF42" s="547">
        <f t="shared" si="43"/>
        <v>4.8815070185552048E-2</v>
      </c>
      <c r="AG42" s="547">
        <f t="shared" si="44"/>
        <v>2.3320191987014086E-2</v>
      </c>
      <c r="AH42" s="549">
        <f t="shared" si="45"/>
        <v>175.92388613548241</v>
      </c>
      <c r="AI42" s="47">
        <f t="shared" si="46"/>
        <v>13.131253879913501</v>
      </c>
      <c r="AJ42" s="550">
        <f t="shared" si="61"/>
        <v>243</v>
      </c>
      <c r="AK42" s="536">
        <f t="shared" si="36"/>
        <v>-8.6384053331738838E-5</v>
      </c>
      <c r="AL42" s="536">
        <f t="shared" si="37"/>
        <v>2.1635636841282495E-2</v>
      </c>
      <c r="AM42" s="536">
        <f t="shared" si="38"/>
        <v>-6.0477788071232937E-4</v>
      </c>
      <c r="AN42" s="547">
        <f t="shared" si="47"/>
        <v>2.1066195735481123E-2</v>
      </c>
      <c r="AO42" s="536">
        <f t="shared" si="48"/>
        <v>0.65399214176759257</v>
      </c>
      <c r="AP42" s="547">
        <f t="shared" si="49"/>
        <v>4.8815070185552048E-2</v>
      </c>
      <c r="AQ42" s="547">
        <f t="shared" si="50"/>
        <v>2.1066195735481123E-2</v>
      </c>
      <c r="AR42" s="549">
        <f t="shared" si="51"/>
        <v>158.92009044952499</v>
      </c>
      <c r="AS42" s="47">
        <f t="shared" si="52"/>
        <v>11.862062055089147</v>
      </c>
    </row>
    <row r="43" spans="1:45">
      <c r="A43" s="551" t="str">
        <f t="shared" si="39"/>
        <v>SDGEResEARAdj1</v>
      </c>
      <c r="B43" s="45" t="s">
        <v>395</v>
      </c>
      <c r="C43" t="s">
        <v>206</v>
      </c>
      <c r="E43" s="45" t="s">
        <v>399</v>
      </c>
      <c r="F43" s="536">
        <f t="shared" si="63"/>
        <v>2.7296589859737153E-3</v>
      </c>
      <c r="G43" s="536">
        <f t="shared" si="63"/>
        <v>-4.2071694527099669E-4</v>
      </c>
      <c r="H43" s="536">
        <f t="shared" si="63"/>
        <v>1.7580826064298338E-2</v>
      </c>
      <c r="I43" s="536">
        <f t="shared" si="63"/>
        <v>0.22224920692815675</v>
      </c>
      <c r="J43" s="536">
        <f t="shared" si="63"/>
        <v>-9.2654867256637158E-2</v>
      </c>
      <c r="K43" s="536">
        <f t="shared" si="28"/>
        <v>1.0327</v>
      </c>
      <c r="L43" s="536">
        <f t="shared" si="28"/>
        <v>1.2764</v>
      </c>
      <c r="M43" s="536">
        <f t="shared" si="28"/>
        <v>-1.7606E-2</v>
      </c>
      <c r="N43" s="47">
        <v>0.2</v>
      </c>
      <c r="O43" s="47">
        <v>0.15</v>
      </c>
      <c r="P43" s="550">
        <f t="shared" si="53"/>
        <v>295</v>
      </c>
      <c r="Q43" s="536">
        <f t="shared" si="29"/>
        <v>-1.716046850697843E-5</v>
      </c>
      <c r="R43" s="536">
        <f t="shared" si="30"/>
        <v>9.0652410345271849E-3</v>
      </c>
      <c r="S43" s="536">
        <f t="shared" si="31"/>
        <v>-3.7792652505394585E-3</v>
      </c>
      <c r="T43" s="547">
        <f t="shared" si="54"/>
        <v>5.2045200181539165E-3</v>
      </c>
      <c r="U43" s="536">
        <f t="shared" si="55"/>
        <v>0.11584975357550259</v>
      </c>
      <c r="V43" s="547">
        <f t="shared" si="56"/>
        <v>2.1159182735756982E-2</v>
      </c>
      <c r="W43" s="547">
        <f t="shared" si="57"/>
        <v>5.2045200181539165E-3</v>
      </c>
      <c r="X43" s="549">
        <f t="shared" si="58"/>
        <v>34.175677304773266</v>
      </c>
      <c r="Y43" s="47">
        <f t="shared" si="59"/>
        <v>6.2419589070483097</v>
      </c>
      <c r="Z43" s="550">
        <f t="shared" si="60"/>
        <v>269</v>
      </c>
      <c r="AA43" s="536">
        <f t="shared" si="33"/>
        <v>-1.5648020435176944E-5</v>
      </c>
      <c r="AB43" s="536">
        <f t="shared" si="34"/>
        <v>8.2662706382637709E-3</v>
      </c>
      <c r="AC43" s="536">
        <f t="shared" si="35"/>
        <v>-3.4461774657461508E-3</v>
      </c>
      <c r="AD43" s="547">
        <f t="shared" si="41"/>
        <v>4.7458165589267902E-3</v>
      </c>
      <c r="AE43" s="536">
        <f t="shared" si="42"/>
        <v>0.11584975357550259</v>
      </c>
      <c r="AF43" s="547">
        <f t="shared" si="43"/>
        <v>2.1159182735756982E-2</v>
      </c>
      <c r="AG43" s="547">
        <f t="shared" si="44"/>
        <v>4.7458165589267902E-3</v>
      </c>
      <c r="AH43" s="549">
        <f t="shared" si="45"/>
        <v>31.163583711810197</v>
      </c>
      <c r="AI43" s="47">
        <f t="shared" si="46"/>
        <v>5.6918201559186281</v>
      </c>
      <c r="AJ43" s="550">
        <f t="shared" si="61"/>
        <v>243</v>
      </c>
      <c r="AK43" s="536">
        <f t="shared" si="36"/>
        <v>-1.4135572363375453E-5</v>
      </c>
      <c r="AL43" s="536">
        <f t="shared" si="37"/>
        <v>7.4673002420003595E-3</v>
      </c>
      <c r="AM43" s="536">
        <f t="shared" si="38"/>
        <v>-3.1130896809528422E-3</v>
      </c>
      <c r="AN43" s="547">
        <f t="shared" si="47"/>
        <v>4.2871130996996673E-3</v>
      </c>
      <c r="AO43" s="536">
        <f t="shared" si="48"/>
        <v>0.11584975357550259</v>
      </c>
      <c r="AP43" s="547">
        <f t="shared" si="49"/>
        <v>2.1159182735756982E-2</v>
      </c>
      <c r="AQ43" s="547">
        <f t="shared" si="50"/>
        <v>4.2871130996996673E-3</v>
      </c>
      <c r="AR43" s="549">
        <f t="shared" si="51"/>
        <v>28.151490118847128</v>
      </c>
      <c r="AS43" s="47">
        <f t="shared" si="52"/>
        <v>5.1416814047889465</v>
      </c>
    </row>
    <row r="44" spans="1:45">
      <c r="A44" s="551" t="str">
        <f t="shared" si="39"/>
        <v>SDGEResNoRepl</v>
      </c>
      <c r="B44" s="45" t="s">
        <v>395</v>
      </c>
      <c r="C44" t="s">
        <v>206</v>
      </c>
      <c r="E44" s="45" t="s">
        <v>411</v>
      </c>
      <c r="F44" s="536">
        <f>VLOOKUP($B44&amp;$C44&amp;"BaseWorkpaper",t.EARTeamUECCalcs,F$32,FALSE)</f>
        <v>2.9298805091215005E-2</v>
      </c>
      <c r="G44" s="536">
        <f>VLOOKUP($B44&amp;$C44&amp;"BaseWorkpaper",t.EARTeamUECCalcs,G$32,FALSE)</f>
        <v>1.3556434903176559E-2</v>
      </c>
      <c r="H44" s="536">
        <f>VLOOKUP($B44&amp;$C44&amp;"BaseWorkpaper",t.EARTeamUECCalcs,H$32,FALSE)</f>
        <v>9.4237673121562893E-2</v>
      </c>
      <c r="I44" s="536">
        <f>VLOOKUP($B44&amp;$C44&amp;"BaseWorkpaper",t.EARTeamUECCalcs,I$32,FALSE)</f>
        <v>1.1963579741077131</v>
      </c>
      <c r="J44" s="536">
        <f>VLOOKUP($B44&amp;$C44&amp;"BaseWorkpaper",t.EARTeamUECCalcs,J$32,FALSE)</f>
        <v>0.21</v>
      </c>
      <c r="K44" s="536">
        <f t="shared" si="28"/>
        <v>1.0327</v>
      </c>
      <c r="L44" s="536">
        <f t="shared" si="28"/>
        <v>1.2764</v>
      </c>
      <c r="M44" s="536">
        <f t="shared" si="28"/>
        <v>-1.7606E-2</v>
      </c>
      <c r="N44" s="47">
        <v>0.2</v>
      </c>
      <c r="O44" s="47">
        <v>0.15</v>
      </c>
      <c r="P44" s="550">
        <f t="shared" si="53"/>
        <v>295</v>
      </c>
      <c r="Q44" s="536">
        <f t="shared" si="29"/>
        <v>5.5294842966930496E-4</v>
      </c>
      <c r="R44" s="536">
        <f t="shared" si="30"/>
        <v>4.8797804720044934E-2</v>
      </c>
      <c r="S44" s="536">
        <f t="shared" si="31"/>
        <v>8.5656126452054795E-3</v>
      </c>
      <c r="T44" s="547">
        <f t="shared" si="54"/>
        <v>5.8515598971287039E-2</v>
      </c>
      <c r="U44" s="536">
        <f t="shared" si="55"/>
        <v>1.5440930778195641</v>
      </c>
      <c r="V44" s="547">
        <f t="shared" si="56"/>
        <v>0.11562660251434982</v>
      </c>
      <c r="W44" s="547">
        <f t="shared" si="57"/>
        <v>5.8515598971287039E-2</v>
      </c>
      <c r="X44" s="549">
        <f t="shared" si="58"/>
        <v>455.50745795677142</v>
      </c>
      <c r="Y44" s="47">
        <f t="shared" si="59"/>
        <v>34.109847741733198</v>
      </c>
      <c r="Z44" s="550">
        <f t="shared" si="60"/>
        <v>269</v>
      </c>
      <c r="AA44" s="536">
        <f t="shared" si="33"/>
        <v>5.0421399180014591E-4</v>
      </c>
      <c r="AB44" s="536">
        <f t="shared" si="34"/>
        <v>4.449698125319352E-2</v>
      </c>
      <c r="AC44" s="536">
        <f t="shared" si="35"/>
        <v>7.8106772934246563E-3</v>
      </c>
      <c r="AD44" s="547">
        <f t="shared" si="41"/>
        <v>5.3358291943309197E-2</v>
      </c>
      <c r="AE44" s="536">
        <f t="shared" si="42"/>
        <v>1.5440930778195641</v>
      </c>
      <c r="AF44" s="547">
        <f t="shared" si="43"/>
        <v>0.11562660251434982</v>
      </c>
      <c r="AG44" s="547">
        <f t="shared" si="44"/>
        <v>5.3358291943309197E-2</v>
      </c>
      <c r="AH44" s="549">
        <f t="shared" si="45"/>
        <v>415.36103793346274</v>
      </c>
      <c r="AI44" s="47">
        <f t="shared" si="46"/>
        <v>31.103556076360103</v>
      </c>
      <c r="AJ44" s="550">
        <f t="shared" si="61"/>
        <v>243</v>
      </c>
      <c r="AK44" s="536">
        <f t="shared" si="36"/>
        <v>4.5547955393098681E-4</v>
      </c>
      <c r="AL44" s="536">
        <f t="shared" si="37"/>
        <v>4.0196157786342092E-2</v>
      </c>
      <c r="AM44" s="536">
        <f t="shared" si="38"/>
        <v>7.0557419416438349E-3</v>
      </c>
      <c r="AN44" s="547">
        <f t="shared" si="47"/>
        <v>4.8200984915331341E-2</v>
      </c>
      <c r="AO44" s="536">
        <f t="shared" si="48"/>
        <v>1.5440930778195641</v>
      </c>
      <c r="AP44" s="547">
        <f t="shared" si="49"/>
        <v>0.11562660251434982</v>
      </c>
      <c r="AQ44" s="547">
        <f t="shared" si="50"/>
        <v>4.8200984915331341E-2</v>
      </c>
      <c r="AR44" s="549">
        <f t="shared" si="51"/>
        <v>375.21461791015406</v>
      </c>
      <c r="AS44" s="47">
        <f t="shared" si="52"/>
        <v>28.097264410987005</v>
      </c>
    </row>
    <row r="45" spans="1:45">
      <c r="A45" s="551" t="str">
        <f t="shared" si="39"/>
        <v>SCGResWorkpaper</v>
      </c>
      <c r="B45" s="45" t="s">
        <v>301</v>
      </c>
      <c r="C45" t="s">
        <v>206</v>
      </c>
      <c r="E45" t="s">
        <v>345</v>
      </c>
      <c r="F45" s="536">
        <f t="shared" ref="F45:J46" si="64">VLOOKUP($B45&amp;$C45&amp;"BaseWorkpaper",t.EARTeamUECCalcs,F$32,FALSE)-VLOOKUP($B45&amp;$C45&amp;"Measure"&amp;$E45,t.EARTeamUECCalcs,F$32,FALSE)</f>
        <v>0</v>
      </c>
      <c r="G45" s="536">
        <f t="shared" si="64"/>
        <v>-1.2638888888888821E-3</v>
      </c>
      <c r="H45" s="536">
        <f t="shared" si="64"/>
        <v>5.9172394456565663E-2</v>
      </c>
      <c r="I45" s="536">
        <f t="shared" si="64"/>
        <v>0.42434595959595955</v>
      </c>
      <c r="J45" s="536">
        <f t="shared" si="64"/>
        <v>-1.8000000000000016E-2</v>
      </c>
      <c r="K45" s="536">
        <f t="shared" si="28"/>
        <v>1.0709</v>
      </c>
      <c r="L45" s="536">
        <f t="shared" si="28"/>
        <v>1.3839999999999999</v>
      </c>
      <c r="M45" s="536">
        <f t="shared" si="28"/>
        <v>-1.9179000000000002E-2</v>
      </c>
      <c r="N45" s="47">
        <v>0.2</v>
      </c>
      <c r="O45" s="47">
        <v>0.15</v>
      </c>
      <c r="P45" s="550">
        <f t="shared" si="53"/>
        <v>295</v>
      </c>
      <c r="Q45" s="536">
        <f t="shared" si="29"/>
        <v>-5.1552298327625296E-5</v>
      </c>
      <c r="R45" s="536">
        <f t="shared" si="30"/>
        <v>1.7308491035509545E-2</v>
      </c>
      <c r="S45" s="536">
        <f t="shared" si="31"/>
        <v>-7.3419536958904176E-4</v>
      </c>
      <c r="T45" s="547">
        <f t="shared" si="54"/>
        <v>1.6716123318772542E-2</v>
      </c>
      <c r="U45" s="536">
        <f t="shared" si="55"/>
        <v>0.43075984040404036</v>
      </c>
      <c r="V45" s="547">
        <f t="shared" si="56"/>
        <v>5.788991022474748E-2</v>
      </c>
      <c r="W45" s="547">
        <f t="shared" si="57"/>
        <v>1.6716123318772542E-2</v>
      </c>
      <c r="X45" s="549">
        <f t="shared" si="58"/>
        <v>127.0741529191919</v>
      </c>
      <c r="Y45" s="47">
        <f t="shared" si="59"/>
        <v>17.077523516300506</v>
      </c>
      <c r="Z45" s="550">
        <f t="shared" si="60"/>
        <v>269</v>
      </c>
      <c r="AA45" s="536">
        <f t="shared" si="33"/>
        <v>-4.7008705932648147E-5</v>
      </c>
      <c r="AB45" s="536">
        <f t="shared" si="34"/>
        <v>1.578299691034599E-2</v>
      </c>
      <c r="AC45" s="536">
        <f t="shared" si="35"/>
        <v>-6.694866251506854E-4</v>
      </c>
      <c r="AD45" s="547">
        <f t="shared" si="41"/>
        <v>1.524283787372818E-2</v>
      </c>
      <c r="AE45" s="536">
        <f t="shared" si="42"/>
        <v>0.43075984040404036</v>
      </c>
      <c r="AF45" s="547">
        <f t="shared" si="43"/>
        <v>5.788991022474748E-2</v>
      </c>
      <c r="AG45" s="547">
        <f t="shared" si="44"/>
        <v>1.524283787372818E-2</v>
      </c>
      <c r="AH45" s="549">
        <f t="shared" si="45"/>
        <v>115.87439706868686</v>
      </c>
      <c r="AI45" s="47">
        <f t="shared" si="46"/>
        <v>15.572385850457072</v>
      </c>
      <c r="AJ45" s="550">
        <f t="shared" si="61"/>
        <v>243</v>
      </c>
      <c r="AK45" s="536">
        <f t="shared" si="36"/>
        <v>-4.2465113537671006E-5</v>
      </c>
      <c r="AL45" s="536">
        <f t="shared" si="37"/>
        <v>1.425750278518244E-2</v>
      </c>
      <c r="AM45" s="536">
        <f t="shared" si="38"/>
        <v>-6.0477788071232937E-4</v>
      </c>
      <c r="AN45" s="547">
        <f t="shared" si="47"/>
        <v>1.3769552428683822E-2</v>
      </c>
      <c r="AO45" s="536">
        <f t="shared" si="48"/>
        <v>0.43075984040404036</v>
      </c>
      <c r="AP45" s="547">
        <f t="shared" si="49"/>
        <v>5.788991022474748E-2</v>
      </c>
      <c r="AQ45" s="547">
        <f t="shared" si="50"/>
        <v>1.3769552428683822E-2</v>
      </c>
      <c r="AR45" s="549">
        <f t="shared" si="51"/>
        <v>104.6746412181818</v>
      </c>
      <c r="AS45" s="47">
        <f t="shared" si="52"/>
        <v>14.067248184613637</v>
      </c>
    </row>
    <row r="46" spans="1:45">
      <c r="A46" s="551" t="str">
        <f t="shared" si="39"/>
        <v>SCGResEARAdj1</v>
      </c>
      <c r="B46" s="45" t="s">
        <v>301</v>
      </c>
      <c r="C46" t="s">
        <v>206</v>
      </c>
      <c r="E46" s="45" t="s">
        <v>399</v>
      </c>
      <c r="F46" s="536">
        <f t="shared" si="64"/>
        <v>2.7628725521885548E-3</v>
      </c>
      <c r="G46" s="536">
        <f t="shared" si="64"/>
        <v>-2.0681818181818041E-4</v>
      </c>
      <c r="H46" s="536">
        <f t="shared" si="64"/>
        <v>2.0492211336818583E-2</v>
      </c>
      <c r="I46" s="536">
        <f t="shared" si="64"/>
        <v>0.14645830441822816</v>
      </c>
      <c r="J46" s="536">
        <f t="shared" si="64"/>
        <v>-9.2654867256637158E-2</v>
      </c>
      <c r="K46" s="536">
        <f t="shared" si="28"/>
        <v>1.0709</v>
      </c>
      <c r="L46" s="536">
        <f t="shared" si="28"/>
        <v>1.3839999999999999</v>
      </c>
      <c r="M46" s="536">
        <f t="shared" si="28"/>
        <v>-1.9179000000000002E-2</v>
      </c>
      <c r="N46" s="47">
        <v>0.2</v>
      </c>
      <c r="O46" s="47">
        <v>0.15</v>
      </c>
      <c r="P46" s="550">
        <f t="shared" si="53"/>
        <v>295</v>
      </c>
      <c r="Q46" s="536">
        <f t="shared" si="29"/>
        <v>-8.4358306354295804E-6</v>
      </c>
      <c r="R46" s="536">
        <f t="shared" si="30"/>
        <v>5.9738338300958493E-3</v>
      </c>
      <c r="S46" s="536">
        <f t="shared" si="31"/>
        <v>-3.7792652505394585E-3</v>
      </c>
      <c r="T46" s="547">
        <f t="shared" si="54"/>
        <v>2.002891806368473E-3</v>
      </c>
      <c r="U46" s="536">
        <f t="shared" si="55"/>
        <v>2.9265147732544072E-2</v>
      </c>
      <c r="V46" s="547">
        <f t="shared" si="56"/>
        <v>2.4470326824034744E-2</v>
      </c>
      <c r="W46" s="547">
        <f t="shared" si="57"/>
        <v>2.002891806368473E-3</v>
      </c>
      <c r="X46" s="549">
        <f t="shared" si="58"/>
        <v>8.6332185811005004</v>
      </c>
      <c r="Y46" s="47">
        <f t="shared" si="59"/>
        <v>7.2187464130902494</v>
      </c>
      <c r="Z46" s="550">
        <f t="shared" si="60"/>
        <v>269</v>
      </c>
      <c r="AA46" s="536">
        <f t="shared" si="33"/>
        <v>-7.6923336980696855E-6</v>
      </c>
      <c r="AB46" s="536">
        <f t="shared" si="34"/>
        <v>5.4473264416806232E-3</v>
      </c>
      <c r="AC46" s="536">
        <f t="shared" si="35"/>
        <v>-3.4461774657461508E-3</v>
      </c>
      <c r="AD46" s="547">
        <f t="shared" si="41"/>
        <v>1.8263657488580319E-3</v>
      </c>
      <c r="AE46" s="536">
        <f t="shared" si="42"/>
        <v>2.9265147732544072E-2</v>
      </c>
      <c r="AF46" s="547">
        <f t="shared" si="43"/>
        <v>2.4470326824034744E-2</v>
      </c>
      <c r="AG46" s="547">
        <f t="shared" si="44"/>
        <v>1.8263657488580319E-3</v>
      </c>
      <c r="AH46" s="549">
        <f t="shared" si="45"/>
        <v>7.8723247400543555</v>
      </c>
      <c r="AI46" s="47">
        <f t="shared" si="46"/>
        <v>6.5825179156653464</v>
      </c>
      <c r="AJ46" s="550">
        <f t="shared" si="61"/>
        <v>243</v>
      </c>
      <c r="AK46" s="536">
        <f t="shared" si="36"/>
        <v>-6.9488367607097905E-6</v>
      </c>
      <c r="AL46" s="536">
        <f t="shared" si="37"/>
        <v>4.9208190532653955E-3</v>
      </c>
      <c r="AM46" s="536">
        <f t="shared" si="38"/>
        <v>-3.1130896809528422E-3</v>
      </c>
      <c r="AN46" s="547">
        <f t="shared" si="47"/>
        <v>1.6498396913475905E-3</v>
      </c>
      <c r="AO46" s="536">
        <f t="shared" si="48"/>
        <v>2.9265147732544072E-2</v>
      </c>
      <c r="AP46" s="547">
        <f t="shared" si="49"/>
        <v>2.4470326824034744E-2</v>
      </c>
      <c r="AQ46" s="547">
        <f t="shared" si="50"/>
        <v>1.6498396913475905E-3</v>
      </c>
      <c r="AR46" s="549">
        <f t="shared" si="51"/>
        <v>7.1114308990082096</v>
      </c>
      <c r="AS46" s="47">
        <f t="shared" si="52"/>
        <v>5.9462894182404424</v>
      </c>
    </row>
    <row r="47" spans="1:45">
      <c r="A47" s="551" t="str">
        <f t="shared" si="39"/>
        <v>SCGResNoRepl</v>
      </c>
      <c r="B47" s="45" t="s">
        <v>301</v>
      </c>
      <c r="C47" t="s">
        <v>206</v>
      </c>
      <c r="E47" s="45" t="s">
        <v>411</v>
      </c>
      <c r="F47" s="536">
        <f>VLOOKUP($B47&amp;$C47&amp;"BaseWorkpaper",t.EARTeamUECCalcs,F$32,FALSE)</f>
        <v>2.9655303030303032E-2</v>
      </c>
      <c r="G47" s="536">
        <f>VLOOKUP($B47&amp;$C47&amp;"BaseWorkpaper",t.EARTeamUECCalcs,G$32,FALSE)</f>
        <v>6.6641414141413845E-3</v>
      </c>
      <c r="H47" s="536">
        <f>VLOOKUP($B47&amp;$C47&amp;"BaseWorkpaper",t.EARTeamUECCalcs,H$32,FALSE)</f>
        <v>0.10984343434343435</v>
      </c>
      <c r="I47" s="536">
        <f>VLOOKUP($B47&amp;$C47&amp;"BaseWorkpaper",t.EARTeamUECCalcs,I$32,FALSE)</f>
        <v>0.78837878787878779</v>
      </c>
      <c r="J47" s="536">
        <f>VLOOKUP($B47&amp;$C47&amp;"BaseWorkpaper",t.EARTeamUECCalcs,J$32,FALSE)</f>
        <v>0.21</v>
      </c>
      <c r="K47" s="536">
        <f t="shared" si="28"/>
        <v>1.0709</v>
      </c>
      <c r="L47" s="536">
        <f t="shared" si="28"/>
        <v>1.3839999999999999</v>
      </c>
      <c r="M47" s="536">
        <f t="shared" si="28"/>
        <v>-1.9179000000000002E-2</v>
      </c>
      <c r="N47" s="47">
        <v>0.2</v>
      </c>
      <c r="O47" s="47">
        <v>0.15</v>
      </c>
      <c r="P47" s="550">
        <f t="shared" si="53"/>
        <v>295</v>
      </c>
      <c r="Q47" s="536">
        <f t="shared" si="29"/>
        <v>2.7182120936384272E-4</v>
      </c>
      <c r="R47" s="536">
        <f t="shared" si="30"/>
        <v>3.215689197460149E-2</v>
      </c>
      <c r="S47" s="536">
        <f t="shared" si="31"/>
        <v>8.5656126452054795E-3</v>
      </c>
      <c r="T47" s="547">
        <f t="shared" si="54"/>
        <v>4.2057612493915736E-2</v>
      </c>
      <c r="U47" s="536">
        <f t="shared" si="55"/>
        <v>1.1462304202020202</v>
      </c>
      <c r="V47" s="547">
        <f t="shared" si="56"/>
        <v>0.13244708401919192</v>
      </c>
      <c r="W47" s="547">
        <f t="shared" si="57"/>
        <v>4.2057612493915736E-2</v>
      </c>
      <c r="X47" s="549">
        <f t="shared" si="58"/>
        <v>338.13797395959597</v>
      </c>
      <c r="Y47" s="47">
        <f t="shared" si="59"/>
        <v>39.071889785661618</v>
      </c>
      <c r="Z47" s="550">
        <f t="shared" si="60"/>
        <v>269</v>
      </c>
      <c r="AA47" s="536">
        <f t="shared" si="33"/>
        <v>2.4786408582669046E-4</v>
      </c>
      <c r="AB47" s="536">
        <f t="shared" si="34"/>
        <v>2.9322725224297626E-2</v>
      </c>
      <c r="AC47" s="536">
        <f t="shared" si="35"/>
        <v>7.8106772934246563E-3</v>
      </c>
      <c r="AD47" s="547">
        <f t="shared" si="41"/>
        <v>3.8350839867333321E-2</v>
      </c>
      <c r="AE47" s="536">
        <f t="shared" si="42"/>
        <v>1.1462304202020202</v>
      </c>
      <c r="AF47" s="547">
        <f t="shared" si="43"/>
        <v>0.13244708401919192</v>
      </c>
      <c r="AG47" s="547">
        <f t="shared" si="44"/>
        <v>3.8350839867333321E-2</v>
      </c>
      <c r="AH47" s="549">
        <f t="shared" si="45"/>
        <v>308.33598303434343</v>
      </c>
      <c r="AI47" s="47">
        <f t="shared" si="46"/>
        <v>35.628265601162624</v>
      </c>
      <c r="AJ47" s="550">
        <f t="shared" si="61"/>
        <v>243</v>
      </c>
      <c r="AK47" s="536">
        <f t="shared" si="36"/>
        <v>2.2390696228953821E-4</v>
      </c>
      <c r="AL47" s="536">
        <f t="shared" si="37"/>
        <v>2.648855847399377E-2</v>
      </c>
      <c r="AM47" s="536">
        <f t="shared" si="38"/>
        <v>7.0557419416438349E-3</v>
      </c>
      <c r="AN47" s="547">
        <f t="shared" si="47"/>
        <v>3.464406724075092E-2</v>
      </c>
      <c r="AO47" s="536">
        <f t="shared" si="48"/>
        <v>1.1462304202020202</v>
      </c>
      <c r="AP47" s="547">
        <f t="shared" si="49"/>
        <v>0.13244708401919192</v>
      </c>
      <c r="AQ47" s="547">
        <f t="shared" si="50"/>
        <v>3.464406724075092E-2</v>
      </c>
      <c r="AR47" s="549">
        <f t="shared" si="51"/>
        <v>278.53399210909089</v>
      </c>
      <c r="AS47" s="47">
        <f t="shared" si="52"/>
        <v>32.184641416663638</v>
      </c>
    </row>
    <row r="48" spans="1:45">
      <c r="B48" s="45"/>
      <c r="E48" s="45"/>
      <c r="F48" s="536"/>
      <c r="G48" s="536"/>
      <c r="H48" s="536"/>
      <c r="I48" s="536"/>
      <c r="J48" s="536"/>
    </row>
    <row r="49" spans="1:45">
      <c r="B49" s="45"/>
      <c r="E49" s="45"/>
      <c r="F49" s="536"/>
      <c r="G49" s="536"/>
      <c r="H49" s="536"/>
      <c r="I49" s="536"/>
      <c r="J49" s="536"/>
    </row>
    <row r="50" spans="1:45">
      <c r="B50" s="45"/>
      <c r="E50" s="45"/>
      <c r="F50" s="536"/>
      <c r="G50" s="536"/>
      <c r="H50" s="536"/>
      <c r="I50" s="536"/>
      <c r="J50" s="536"/>
      <c r="K50" s="551">
        <f>K32+3</f>
        <v>6</v>
      </c>
      <c r="L50" s="551">
        <f>L32+3</f>
        <v>7</v>
      </c>
      <c r="M50" s="551">
        <f>M32+3</f>
        <v>8</v>
      </c>
    </row>
    <row r="51" spans="1:45">
      <c r="B51" s="10"/>
      <c r="F51" s="880" t="s">
        <v>391</v>
      </c>
      <c r="G51" s="880"/>
      <c r="H51" s="880"/>
      <c r="I51" s="880"/>
      <c r="J51" s="880"/>
      <c r="P51" s="879" t="s">
        <v>408</v>
      </c>
      <c r="Q51" s="879"/>
      <c r="R51" s="879"/>
      <c r="S51" s="879"/>
      <c r="T51" s="879"/>
      <c r="U51" s="879"/>
      <c r="V51" s="879"/>
      <c r="W51" s="879"/>
      <c r="X51" s="879"/>
      <c r="Y51" s="879"/>
      <c r="Z51" s="879" t="s">
        <v>409</v>
      </c>
      <c r="AA51" s="879"/>
      <c r="AB51" s="879"/>
      <c r="AC51" s="879"/>
      <c r="AD51" s="879"/>
      <c r="AE51" s="879"/>
      <c r="AF51" s="879"/>
      <c r="AG51" s="879"/>
      <c r="AH51" s="879"/>
      <c r="AI51" s="879"/>
      <c r="AJ51" s="879" t="s">
        <v>410</v>
      </c>
      <c r="AK51" s="879"/>
      <c r="AL51" s="879"/>
      <c r="AM51" s="879"/>
      <c r="AN51" s="879"/>
      <c r="AO51" s="879"/>
      <c r="AP51" s="879"/>
      <c r="AQ51" s="879"/>
      <c r="AR51" s="879"/>
      <c r="AS51" s="879"/>
    </row>
    <row r="52" spans="1:45">
      <c r="B52" s="10"/>
      <c r="F52" s="880" t="s">
        <v>390</v>
      </c>
      <c r="G52" s="880"/>
      <c r="H52" s="880" t="s">
        <v>17</v>
      </c>
      <c r="I52" s="880"/>
      <c r="J52" s="546" t="s">
        <v>384</v>
      </c>
      <c r="K52" s="880" t="s">
        <v>400</v>
      </c>
      <c r="L52" s="880"/>
      <c r="M52" s="880"/>
      <c r="N52" s="880" t="s">
        <v>403</v>
      </c>
      <c r="O52" s="880"/>
      <c r="Q52" s="880" t="s">
        <v>402</v>
      </c>
      <c r="R52" s="880"/>
      <c r="S52" s="880"/>
      <c r="T52" s="880" t="s">
        <v>404</v>
      </c>
      <c r="U52" s="880"/>
      <c r="V52" s="880"/>
      <c r="W52" s="880" t="s">
        <v>405</v>
      </c>
      <c r="X52" s="880"/>
      <c r="Y52" s="880"/>
      <c r="AA52" s="880" t="s">
        <v>402</v>
      </c>
      <c r="AB52" s="880"/>
      <c r="AC52" s="880"/>
      <c r="AD52" s="880" t="s">
        <v>404</v>
      </c>
      <c r="AE52" s="880"/>
      <c r="AF52" s="880"/>
      <c r="AG52" s="880" t="s">
        <v>405</v>
      </c>
      <c r="AH52" s="880"/>
      <c r="AI52" s="880"/>
      <c r="AK52" s="880" t="s">
        <v>402</v>
      </c>
      <c r="AL52" s="880"/>
      <c r="AM52" s="880"/>
      <c r="AN52" s="880" t="s">
        <v>404</v>
      </c>
      <c r="AO52" s="880"/>
      <c r="AP52" s="880"/>
      <c r="AQ52" s="880" t="s">
        <v>405</v>
      </c>
      <c r="AR52" s="880"/>
      <c r="AS52" s="880"/>
    </row>
    <row r="53" spans="1:45">
      <c r="B53" s="10"/>
      <c r="F53" s="45" t="s">
        <v>24</v>
      </c>
      <c r="G53" s="45" t="s">
        <v>25</v>
      </c>
      <c r="H53" s="45" t="s">
        <v>24</v>
      </c>
      <c r="I53" s="45" t="s">
        <v>25</v>
      </c>
      <c r="J53" s="45" t="s">
        <v>25</v>
      </c>
      <c r="K53" s="45" t="s">
        <v>178</v>
      </c>
      <c r="L53" s="45" t="s">
        <v>177</v>
      </c>
      <c r="M53" s="45" t="s">
        <v>179</v>
      </c>
      <c r="N53" s="45" t="s">
        <v>393</v>
      </c>
      <c r="O53" s="45" t="s">
        <v>172</v>
      </c>
      <c r="P53" s="45" t="s">
        <v>401</v>
      </c>
      <c r="Q53" s="45" t="s">
        <v>383</v>
      </c>
      <c r="R53" s="45" t="s">
        <v>17</v>
      </c>
      <c r="S53" s="45" t="s">
        <v>384</v>
      </c>
      <c r="T53" s="45" t="s">
        <v>406</v>
      </c>
      <c r="U53" s="45" t="s">
        <v>25</v>
      </c>
      <c r="V53" s="45" t="s">
        <v>407</v>
      </c>
      <c r="W53" s="45" t="s">
        <v>406</v>
      </c>
      <c r="X53" s="45" t="s">
        <v>25</v>
      </c>
      <c r="Y53" s="45" t="s">
        <v>407</v>
      </c>
      <c r="Z53" s="45" t="s">
        <v>401</v>
      </c>
      <c r="AA53" s="45" t="s">
        <v>383</v>
      </c>
      <c r="AB53" s="45" t="s">
        <v>17</v>
      </c>
      <c r="AC53" s="45" t="s">
        <v>384</v>
      </c>
      <c r="AD53" s="45" t="s">
        <v>406</v>
      </c>
      <c r="AE53" s="45" t="s">
        <v>25</v>
      </c>
      <c r="AF53" s="45" t="s">
        <v>407</v>
      </c>
      <c r="AG53" s="45" t="s">
        <v>406</v>
      </c>
      <c r="AH53" s="45" t="s">
        <v>25</v>
      </c>
      <c r="AI53" s="45" t="s">
        <v>407</v>
      </c>
      <c r="AJ53" s="45" t="s">
        <v>401</v>
      </c>
      <c r="AK53" s="45" t="s">
        <v>383</v>
      </c>
      <c r="AL53" s="45" t="s">
        <v>17</v>
      </c>
      <c r="AM53" s="45" t="s">
        <v>384</v>
      </c>
      <c r="AN53" s="45" t="s">
        <v>406</v>
      </c>
      <c r="AO53" s="45" t="s">
        <v>25</v>
      </c>
      <c r="AP53" s="45" t="s">
        <v>407</v>
      </c>
      <c r="AQ53" s="45" t="s">
        <v>406</v>
      </c>
      <c r="AR53" s="45" t="s">
        <v>25</v>
      </c>
      <c r="AS53" s="45" t="s">
        <v>407</v>
      </c>
    </row>
    <row r="54" spans="1:45">
      <c r="A54" s="551" t="str">
        <f t="shared" ref="A54:A65" si="65">B54&amp;C54&amp;E54</f>
        <v>SCECommonWorkpaper</v>
      </c>
      <c r="B54" s="45" t="s">
        <v>16</v>
      </c>
      <c r="C54" t="s">
        <v>387</v>
      </c>
      <c r="E54" t="s">
        <v>345</v>
      </c>
      <c r="F54" s="536">
        <f t="shared" ref="F54:J55" si="66">VLOOKUP($B54&amp;$C54&amp;"BaseWorkpaper",t.EARTeamUECCalcs,F$32,FALSE)-VLOOKUP($B54&amp;$C54&amp;"Measure"&amp;$E54,t.EARTeamUECCalcs,F$32,FALSE)</f>
        <v>0</v>
      </c>
      <c r="G54" s="536">
        <f t="shared" si="66"/>
        <v>-7.6696981679188134E-3</v>
      </c>
      <c r="H54" s="536">
        <f t="shared" si="66"/>
        <v>5.4423581178331355E-2</v>
      </c>
      <c r="I54" s="536">
        <f t="shared" si="66"/>
        <v>0.54839066824831972</v>
      </c>
      <c r="J54" s="536">
        <f t="shared" si="66"/>
        <v>-1.8000000000000016E-2</v>
      </c>
      <c r="K54" s="536">
        <f t="shared" ref="K54:M65" si="67">VLOOKUP($B54,t.OverallIEF,K$50,FALSE)</f>
        <v>1.1355999999999999</v>
      </c>
      <c r="L54" s="536">
        <f t="shared" si="67"/>
        <v>1.2810999999999999</v>
      </c>
      <c r="M54" s="536">
        <f t="shared" si="67"/>
        <v>-1.7047E-3</v>
      </c>
      <c r="N54" s="47">
        <v>0.2</v>
      </c>
      <c r="O54" s="47">
        <v>0.15</v>
      </c>
      <c r="P54" s="45">
        <f>Annual_Cycles!C5</f>
        <v>1095</v>
      </c>
      <c r="Q54" s="536">
        <f t="shared" ref="Q54:Q65" si="68">$G54*P54*v.EARMFAMCDF/365</f>
        <v>-1.4015483208194845E-3</v>
      </c>
      <c r="R54" s="536">
        <f t="shared" ref="R54:R65" si="69">$I54*P54*v.EARMFAMCDF/365</f>
        <v>0.10021202965345213</v>
      </c>
      <c r="S54" s="536">
        <f t="shared" ref="S54:S65" si="70">$J54*P54*v.EARMFAMCDF/365</f>
        <v>-3.2892910806158067E-3</v>
      </c>
      <c r="T54" s="547">
        <f>(S54+R54*$N54)*$K54+Q54+R54*(1-$N54)</f>
        <v>9.7792912625686956E-2</v>
      </c>
      <c r="U54" s="536">
        <f>($J54+$I54*$N54)*$L54+$G54+$I54*(1-$N54)</f>
        <v>0.54849169344932136</v>
      </c>
      <c r="V54" s="547">
        <f>($J54+$I54*$N54)*$M54+$F54+$H54</f>
        <v>5.4267297463898773E-2</v>
      </c>
      <c r="W54" s="547">
        <f>T54</f>
        <v>9.7792912625686956E-2</v>
      </c>
      <c r="X54" s="549">
        <f>U54*P54</f>
        <v>600.59840432700685</v>
      </c>
      <c r="Y54" s="47">
        <f>V54*P54</f>
        <v>59.422690722969158</v>
      </c>
      <c r="Z54" s="550">
        <f>P54*0.75</f>
        <v>821.25</v>
      </c>
      <c r="AA54" s="536">
        <f t="shared" ref="AA54:AA65" si="71">$G54*Z54*v.EARMFAMCDF/365</f>
        <v>-1.0511612406146134E-3</v>
      </c>
      <c r="AB54" s="536">
        <f t="shared" ref="AB54:AB65" si="72">$I54*Z54*v.EARMFAMCDF/365</f>
        <v>7.5159022240089093E-2</v>
      </c>
      <c r="AC54" s="536">
        <f t="shared" ref="AC54:AC65" si="73">$J54*Z54*v.EARMFAMCDF/365</f>
        <v>-2.4669683104618549E-3</v>
      </c>
      <c r="AD54" s="547">
        <f>(AC54+AB54*$N54)*$K54+AA54+AB54*(1-$N54)</f>
        <v>7.3344684469265217E-2</v>
      </c>
      <c r="AE54" s="536">
        <f>($J54+$I54*$N54)*$L54+$G54+$I54*(1-$N54)</f>
        <v>0.54849169344932136</v>
      </c>
      <c r="AF54" s="547">
        <f>($J54+$I54*$N54)*$M54+$F54+$H54</f>
        <v>5.4267297463898773E-2</v>
      </c>
      <c r="AG54" s="547">
        <f>AD54</f>
        <v>7.3344684469265217E-2</v>
      </c>
      <c r="AH54" s="549">
        <f>AE54*Z54</f>
        <v>450.44880324525519</v>
      </c>
      <c r="AI54" s="47">
        <f>AF54*Z54</f>
        <v>44.56701804222687</v>
      </c>
      <c r="AJ54" s="550">
        <f>P54*0.5</f>
        <v>547.5</v>
      </c>
      <c r="AK54" s="536">
        <f t="shared" ref="AK54:AK65" si="74">$G54*AJ54*v.EARMFAMCDF/365</f>
        <v>-7.0077416040974227E-4</v>
      </c>
      <c r="AL54" s="536">
        <f t="shared" ref="AL54:AL65" si="75">$I54*AJ54*v.EARMFAMCDF/365</f>
        <v>5.0106014826726067E-2</v>
      </c>
      <c r="AM54" s="536">
        <f t="shared" ref="AM54:AM65" si="76">$J54*AJ54*v.EARMFAMCDF/365</f>
        <v>-1.6446455403079034E-3</v>
      </c>
      <c r="AN54" s="547">
        <f>(AM54+AL54*$N54)*$K54+AK54+AL54*(1-$N54)</f>
        <v>4.8896456312843478E-2</v>
      </c>
      <c r="AO54" s="536">
        <f>($J54+$I54*$N54)*$L54+$G54+$I54*(1-$N54)</f>
        <v>0.54849169344932136</v>
      </c>
      <c r="AP54" s="547">
        <f>($J54+$I54*$N54)*$M54+$F54+$H54</f>
        <v>5.4267297463898773E-2</v>
      </c>
      <c r="AQ54" s="547">
        <f>AN54</f>
        <v>4.8896456312843478E-2</v>
      </c>
      <c r="AR54" s="549">
        <f>AO54*AJ54</f>
        <v>300.29920216350342</v>
      </c>
      <c r="AS54" s="47">
        <f>AP54*AJ54</f>
        <v>29.711345361484579</v>
      </c>
    </row>
    <row r="55" spans="1:45">
      <c r="A55" s="551" t="str">
        <f t="shared" si="65"/>
        <v>SCECommonEARAdj1</v>
      </c>
      <c r="B55" s="45" t="s">
        <v>16</v>
      </c>
      <c r="C55" t="s">
        <v>387</v>
      </c>
      <c r="E55" s="45" t="s">
        <v>399</v>
      </c>
      <c r="F55" s="536">
        <f t="shared" si="66"/>
        <v>2.600107538333115E-3</v>
      </c>
      <c r="G55" s="536">
        <f t="shared" si="66"/>
        <v>-1.2550415183867139E-3</v>
      </c>
      <c r="H55" s="536">
        <f t="shared" si="66"/>
        <v>1.8847632201727152E-2</v>
      </c>
      <c r="I55" s="536">
        <f t="shared" si="66"/>
        <v>0.18927096067298732</v>
      </c>
      <c r="J55" s="536">
        <f t="shared" si="66"/>
        <v>-9.2654867256637158E-2</v>
      </c>
      <c r="K55" s="536">
        <f t="shared" si="67"/>
        <v>1.1355999999999999</v>
      </c>
      <c r="L55" s="536">
        <f t="shared" si="67"/>
        <v>1.2810999999999999</v>
      </c>
      <c r="M55" s="536">
        <f t="shared" si="67"/>
        <v>-1.7047E-3</v>
      </c>
      <c r="N55" s="47">
        <v>0.2</v>
      </c>
      <c r="O55" s="47">
        <v>0.15</v>
      </c>
      <c r="P55" s="45">
        <f>P54</f>
        <v>1095</v>
      </c>
      <c r="Q55" s="536">
        <f t="shared" si="68"/>
        <v>-2.2934427067955183E-4</v>
      </c>
      <c r="R55" s="536">
        <f t="shared" si="69"/>
        <v>3.4587071264513429E-2</v>
      </c>
      <c r="S55" s="536">
        <f t="shared" si="70"/>
        <v>-1.6931601580160993E-2</v>
      </c>
      <c r="T55" s="547">
        <f t="shared" ref="T55" si="77">(S55+R55*$N55)*$K55+Q55+R55*(1-$N55)</f>
        <v>1.6068201612096659E-2</v>
      </c>
      <c r="U55" s="536">
        <f t="shared" ref="U55:U65" si="78">($J55+$I55*$N55)*$L55+$G55+$I55*(1-$N55)</f>
        <v>7.995658212115811E-2</v>
      </c>
      <c r="V55" s="547">
        <f t="shared" ref="V55:V65" si="79">($J55+$I55*$N55)*$M55+$F55+$H55</f>
        <v>2.1541158450940807E-2</v>
      </c>
      <c r="W55" s="547">
        <f t="shared" ref="W55" si="80">T55</f>
        <v>1.6068201612096659E-2</v>
      </c>
      <c r="X55" s="549">
        <f t="shared" ref="X55" si="81">U55*P55</f>
        <v>87.552457422668127</v>
      </c>
      <c r="Y55" s="47">
        <f t="shared" ref="Y55" si="82">V55*P55</f>
        <v>23.587568503780183</v>
      </c>
      <c r="Z55" s="550">
        <f>Z54</f>
        <v>821.25</v>
      </c>
      <c r="AA55" s="536">
        <f t="shared" si="71"/>
        <v>-1.720082030096639E-4</v>
      </c>
      <c r="AB55" s="536">
        <f t="shared" si="72"/>
        <v>2.5940303448385073E-2</v>
      </c>
      <c r="AC55" s="536">
        <f t="shared" si="73"/>
        <v>-1.2698701185120747E-2</v>
      </c>
      <c r="AD55" s="547">
        <f t="shared" ref="AD55" si="83">(AC55+AB55*$N55)*$K55+AA55+AB55*(1-$N55)</f>
        <v>1.2051151209072493E-2</v>
      </c>
      <c r="AE55" s="536">
        <f t="shared" ref="AE55:AE65" si="84">($J55+$I55*$N55)*$L55+$G55+$I55*(1-$N55)</f>
        <v>7.995658212115811E-2</v>
      </c>
      <c r="AF55" s="547">
        <f t="shared" ref="AF55:AF65" si="85">($J55+$I55*$N55)*$M55+$F55+$H55</f>
        <v>2.1541158450940807E-2</v>
      </c>
      <c r="AG55" s="547">
        <f t="shared" ref="AG55" si="86">AD55</f>
        <v>1.2051151209072493E-2</v>
      </c>
      <c r="AH55" s="549">
        <f t="shared" ref="AH55" si="87">AE55*Z55</f>
        <v>65.664343067001099</v>
      </c>
      <c r="AI55" s="47">
        <f t="shared" ref="AI55" si="88">AF55*Z55</f>
        <v>17.690676377835139</v>
      </c>
      <c r="AJ55" s="550">
        <f>AJ54</f>
        <v>547.5</v>
      </c>
      <c r="AK55" s="536">
        <f t="shared" si="74"/>
        <v>-1.1467213533977591E-4</v>
      </c>
      <c r="AL55" s="536">
        <f t="shared" si="75"/>
        <v>1.7293535632256715E-2</v>
      </c>
      <c r="AM55" s="536">
        <f t="shared" si="76"/>
        <v>-8.4658007900804966E-3</v>
      </c>
      <c r="AN55" s="547">
        <f t="shared" ref="AN55" si="89">(AM55+AL55*$N55)*$K55+AK55+AL55*(1-$N55)</f>
        <v>8.0341008060483294E-3</v>
      </c>
      <c r="AO55" s="536">
        <f t="shared" ref="AO55:AO65" si="90">($J55+$I55*$N55)*$L55+$G55+$I55*(1-$N55)</f>
        <v>7.995658212115811E-2</v>
      </c>
      <c r="AP55" s="547">
        <f t="shared" ref="AP55:AP65" si="91">($J55+$I55*$N55)*$M55+$F55+$H55</f>
        <v>2.1541158450940807E-2</v>
      </c>
      <c r="AQ55" s="547">
        <f t="shared" ref="AQ55" si="92">AN55</f>
        <v>8.0341008060483294E-3</v>
      </c>
      <c r="AR55" s="549">
        <f t="shared" ref="AR55" si="93">AO55*AJ55</f>
        <v>43.776228711334063</v>
      </c>
      <c r="AS55" s="47">
        <f t="shared" ref="AS55" si="94">AP55*AJ55</f>
        <v>11.793784251890091</v>
      </c>
    </row>
    <row r="56" spans="1:45">
      <c r="A56" s="551" t="str">
        <f t="shared" si="65"/>
        <v>SCECommonNoRepl</v>
      </c>
      <c r="B56" s="45" t="s">
        <v>16</v>
      </c>
      <c r="C56" t="s">
        <v>387</v>
      </c>
      <c r="E56" s="45" t="s">
        <v>411</v>
      </c>
      <c r="F56" s="536">
        <f>VLOOKUP($B56&amp;$C56&amp;"BaseWorkpaper",t.EARTeamUECCalcs,F$32,FALSE)</f>
        <v>2.790826413602214E-2</v>
      </c>
      <c r="G56" s="536">
        <f>VLOOKUP($B56&amp;$C56&amp;"BaseWorkpaper",t.EARTeamUECCalcs,G$32,FALSE)</f>
        <v>4.0440226703571926E-2</v>
      </c>
      <c r="H56" s="536">
        <f>VLOOKUP($B56&amp;$C56&amp;"BaseWorkpaper",t.EARTeamUECCalcs,H$32,FALSE)</f>
        <v>0.10102807433768288</v>
      </c>
      <c r="I56" s="536">
        <f>VLOOKUP($B56&amp;$C56&amp;"BaseWorkpaper",t.EARTeamUECCalcs,I$32,FALSE)</f>
        <v>1.018837485172005</v>
      </c>
      <c r="J56" s="536">
        <f>VLOOKUP($B56&amp;$C56&amp;"BaseWorkpaper",t.EARTeamUECCalcs,J$32,FALSE)</f>
        <v>0.21</v>
      </c>
      <c r="K56" s="536">
        <f t="shared" si="67"/>
        <v>1.1355999999999999</v>
      </c>
      <c r="L56" s="536">
        <f t="shared" si="67"/>
        <v>1.2810999999999999</v>
      </c>
      <c r="M56" s="536">
        <f t="shared" si="67"/>
        <v>-1.7047E-3</v>
      </c>
      <c r="N56" s="47">
        <v>0.2</v>
      </c>
      <c r="O56" s="47">
        <v>0.15</v>
      </c>
      <c r="P56" s="655">
        <f t="shared" ref="P56:P65" si="95">P55</f>
        <v>1095</v>
      </c>
      <c r="Q56" s="536">
        <f t="shared" si="68"/>
        <v>7.3899820552300105E-3</v>
      </c>
      <c r="R56" s="536">
        <f t="shared" si="69"/>
        <v>0.18618072514296177</v>
      </c>
      <c r="S56" s="536">
        <f t="shared" si="70"/>
        <v>3.8375062607184374E-2</v>
      </c>
      <c r="T56" s="547">
        <f t="shared" ref="T56:T65" si="96">(S56+R56*$N56)*$K56+Q56+R56*(1-$N56)</f>
        <v>0.24219864956078746</v>
      </c>
      <c r="U56" s="536">
        <f t="shared" si="78"/>
        <v>1.3855877552919469</v>
      </c>
      <c r="V56" s="547">
        <f t="shared" si="79"/>
        <v>0.12823098902151048</v>
      </c>
      <c r="W56" s="547">
        <f t="shared" ref="W56:W65" si="97">T56</f>
        <v>0.24219864956078746</v>
      </c>
      <c r="X56" s="549">
        <f t="shared" ref="X56:X65" si="98">U56*P56</f>
        <v>1517.2185920446818</v>
      </c>
      <c r="Y56" s="47">
        <f t="shared" ref="Y56:Y65" si="99">V56*P56</f>
        <v>140.41293297855398</v>
      </c>
      <c r="Z56" s="550">
        <f t="shared" ref="Z56:Z65" si="100">Z55</f>
        <v>821.25</v>
      </c>
      <c r="AA56" s="536">
        <f t="shared" si="71"/>
        <v>5.5424865414225076E-3</v>
      </c>
      <c r="AB56" s="536">
        <f t="shared" si="72"/>
        <v>0.13963554385722135</v>
      </c>
      <c r="AC56" s="536">
        <f t="shared" si="73"/>
        <v>2.8781296955388284E-2</v>
      </c>
      <c r="AD56" s="547">
        <f t="shared" ref="AD56:AD65" si="101">(AC56+AB56*$N56)*$K56+AA56+AB56*(1-$N56)</f>
        <v>0.18164898717059064</v>
      </c>
      <c r="AE56" s="536">
        <f t="shared" si="84"/>
        <v>1.3855877552919469</v>
      </c>
      <c r="AF56" s="547">
        <f t="shared" si="85"/>
        <v>0.12823098902151048</v>
      </c>
      <c r="AG56" s="547">
        <f t="shared" ref="AG56:AG65" si="102">AD56</f>
        <v>0.18164898717059064</v>
      </c>
      <c r="AH56" s="549">
        <f t="shared" ref="AH56:AH65" si="103">AE56*Z56</f>
        <v>1137.9139440335114</v>
      </c>
      <c r="AI56" s="47">
        <f t="shared" ref="AI56:AI65" si="104">AF56*Z56</f>
        <v>105.30969973391548</v>
      </c>
      <c r="AJ56" s="550">
        <f t="shared" ref="AJ56:AJ65" si="105">AJ55</f>
        <v>547.5</v>
      </c>
      <c r="AK56" s="536">
        <f t="shared" si="74"/>
        <v>3.6949910276150052E-3</v>
      </c>
      <c r="AL56" s="536">
        <f t="shared" si="75"/>
        <v>9.3090362571480886E-2</v>
      </c>
      <c r="AM56" s="536">
        <f t="shared" si="76"/>
        <v>1.9187531303592187E-2</v>
      </c>
      <c r="AN56" s="547">
        <f t="shared" ref="AN56:AN65" si="106">(AM56+AL56*$N56)*$K56+AK56+AL56*(1-$N56)</f>
        <v>0.12109932478039373</v>
      </c>
      <c r="AO56" s="536">
        <f t="shared" si="90"/>
        <v>1.3855877552919469</v>
      </c>
      <c r="AP56" s="547">
        <f t="shared" si="91"/>
        <v>0.12823098902151048</v>
      </c>
      <c r="AQ56" s="547">
        <f t="shared" ref="AQ56:AQ65" si="107">AN56</f>
        <v>0.12109932478039373</v>
      </c>
      <c r="AR56" s="549">
        <f t="shared" ref="AR56:AR65" si="108">AO56*AJ56</f>
        <v>758.60929602234091</v>
      </c>
      <c r="AS56" s="47">
        <f t="shared" ref="AS56:AS65" si="109">AP56*AJ56</f>
        <v>70.206466489276991</v>
      </c>
    </row>
    <row r="57" spans="1:45">
      <c r="A57" s="551" t="str">
        <f t="shared" si="65"/>
        <v>PGECommonWorkpaper</v>
      </c>
      <c r="B57" s="45" t="s">
        <v>237</v>
      </c>
      <c r="C57" t="s">
        <v>387</v>
      </c>
      <c r="E57" t="s">
        <v>345</v>
      </c>
      <c r="F57" s="536">
        <f t="shared" ref="F57:J58" si="110">VLOOKUP($B57&amp;$C57&amp;"BaseWorkpaper",t.EARTeamUECCalcs,F$32,FALSE)-VLOOKUP($B57&amp;$C57&amp;"Measure"&amp;$E57,t.EARTeamUECCalcs,F$32,FALSE)</f>
        <v>0</v>
      </c>
      <c r="G57" s="536">
        <f t="shared" si="110"/>
        <v>-2.0553804592525881E-3</v>
      </c>
      <c r="H57" s="536">
        <f t="shared" si="110"/>
        <v>3.0510027511931565E-2</v>
      </c>
      <c r="I57" s="536">
        <f t="shared" si="110"/>
        <v>1.1730414227825303</v>
      </c>
      <c r="J57" s="536">
        <f t="shared" si="110"/>
        <v>-1.8000000000000016E-2</v>
      </c>
      <c r="K57" s="536">
        <f t="shared" si="67"/>
        <v>1.0572999999999999</v>
      </c>
      <c r="L57" s="536">
        <f t="shared" si="67"/>
        <v>1.2199</v>
      </c>
      <c r="M57" s="536">
        <f t="shared" si="67"/>
        <v>-3.7190999999999999E-3</v>
      </c>
      <c r="N57" s="47">
        <v>0.2</v>
      </c>
      <c r="O57" s="47">
        <v>0.15</v>
      </c>
      <c r="P57" s="655">
        <f t="shared" si="95"/>
        <v>1095</v>
      </c>
      <c r="Q57" s="536">
        <f t="shared" si="68"/>
        <v>-3.7559692288286406E-4</v>
      </c>
      <c r="R57" s="536">
        <f t="shared" si="69"/>
        <v>0.21435970495285828</v>
      </c>
      <c r="S57" s="536">
        <f t="shared" si="70"/>
        <v>-3.2892910806158067E-3</v>
      </c>
      <c r="T57" s="547">
        <f t="shared" si="96"/>
        <v>0.21296290278920008</v>
      </c>
      <c r="U57" s="536">
        <f t="shared" si="78"/>
        <v>1.2006182040972533</v>
      </c>
      <c r="V57" s="547">
        <f t="shared" si="79"/>
        <v>2.9704439640837462E-2</v>
      </c>
      <c r="W57" s="547">
        <f t="shared" si="97"/>
        <v>0.21296290278920008</v>
      </c>
      <c r="X57" s="549">
        <f t="shared" si="98"/>
        <v>1314.6769334864923</v>
      </c>
      <c r="Y57" s="47">
        <f t="shared" si="99"/>
        <v>32.526361406717022</v>
      </c>
      <c r="Z57" s="550">
        <f t="shared" si="100"/>
        <v>821.25</v>
      </c>
      <c r="AA57" s="536">
        <f t="shared" si="71"/>
        <v>-2.8169769216214804E-4</v>
      </c>
      <c r="AB57" s="536">
        <f t="shared" si="72"/>
        <v>0.16076977871464374</v>
      </c>
      <c r="AC57" s="536">
        <f t="shared" si="73"/>
        <v>-2.4669683104618549E-3</v>
      </c>
      <c r="AD57" s="547">
        <f t="shared" si="101"/>
        <v>0.15972217709190009</v>
      </c>
      <c r="AE57" s="536">
        <f t="shared" si="84"/>
        <v>1.2006182040972533</v>
      </c>
      <c r="AF57" s="547">
        <f t="shared" si="85"/>
        <v>2.9704439640837462E-2</v>
      </c>
      <c r="AG57" s="547">
        <f t="shared" si="102"/>
        <v>0.15972217709190009</v>
      </c>
      <c r="AH57" s="549">
        <f t="shared" si="103"/>
        <v>986.00770011486929</v>
      </c>
      <c r="AI57" s="47">
        <f t="shared" si="104"/>
        <v>24.394771055037765</v>
      </c>
      <c r="AJ57" s="550">
        <f t="shared" si="105"/>
        <v>547.5</v>
      </c>
      <c r="AK57" s="536">
        <f t="shared" si="74"/>
        <v>-1.8779846144143203E-4</v>
      </c>
      <c r="AL57" s="536">
        <f t="shared" si="75"/>
        <v>0.10717985247642914</v>
      </c>
      <c r="AM57" s="536">
        <f t="shared" si="76"/>
        <v>-1.6446455403079034E-3</v>
      </c>
      <c r="AN57" s="547">
        <f t="shared" si="106"/>
        <v>0.10648145139460004</v>
      </c>
      <c r="AO57" s="536">
        <f t="shared" si="90"/>
        <v>1.2006182040972533</v>
      </c>
      <c r="AP57" s="547">
        <f t="shared" si="91"/>
        <v>2.9704439640837462E-2</v>
      </c>
      <c r="AQ57" s="547">
        <f t="shared" si="107"/>
        <v>0.10648145139460004</v>
      </c>
      <c r="AR57" s="549">
        <f t="shared" si="108"/>
        <v>657.33846674324616</v>
      </c>
      <c r="AS57" s="47">
        <f t="shared" si="109"/>
        <v>16.263180703358511</v>
      </c>
    </row>
    <row r="58" spans="1:45">
      <c r="A58" s="551" t="str">
        <f t="shared" si="65"/>
        <v>PGECommonEARAdj1</v>
      </c>
      <c r="B58" s="45" t="s">
        <v>237</v>
      </c>
      <c r="C58" t="s">
        <v>387</v>
      </c>
      <c r="E58" s="45" t="s">
        <v>399</v>
      </c>
      <c r="F58" s="536">
        <f t="shared" si="110"/>
        <v>2.7427615668617761E-3</v>
      </c>
      <c r="G58" s="536">
        <f t="shared" si="110"/>
        <v>-3.3633498424133317E-4</v>
      </c>
      <c r="H58" s="536">
        <f t="shared" si="110"/>
        <v>1.0566040759523082E-2</v>
      </c>
      <c r="I58" s="536">
        <f t="shared" si="110"/>
        <v>0.40486224484535205</v>
      </c>
      <c r="J58" s="536">
        <f t="shared" si="110"/>
        <v>-9.2654867256637158E-2</v>
      </c>
      <c r="K58" s="536">
        <f t="shared" si="67"/>
        <v>1.0572999999999999</v>
      </c>
      <c r="L58" s="536">
        <f t="shared" si="67"/>
        <v>1.2199</v>
      </c>
      <c r="M58" s="536">
        <f t="shared" si="67"/>
        <v>-3.7190999999999999E-3</v>
      </c>
      <c r="N58" s="47">
        <v>0.2</v>
      </c>
      <c r="O58" s="47">
        <v>0.15</v>
      </c>
      <c r="P58" s="655">
        <f t="shared" si="95"/>
        <v>1095</v>
      </c>
      <c r="Q58" s="536">
        <f t="shared" si="68"/>
        <v>-6.1461314653559664E-5</v>
      </c>
      <c r="R58" s="536">
        <f t="shared" si="69"/>
        <v>7.3983876158217124E-2</v>
      </c>
      <c r="S58" s="536">
        <f t="shared" si="70"/>
        <v>-1.6931601580160993E-2</v>
      </c>
      <c r="T58" s="547">
        <f t="shared" si="96"/>
        <v>5.6868487713632516E-2</v>
      </c>
      <c r="U58" s="536">
        <f t="shared" si="78"/>
        <v>0.30930207882303762</v>
      </c>
      <c r="V58" s="547">
        <f t="shared" si="79"/>
        <v>1.3352250408238148E-2</v>
      </c>
      <c r="W58" s="547">
        <f t="shared" si="97"/>
        <v>5.6868487713632516E-2</v>
      </c>
      <c r="X58" s="549">
        <f t="shared" si="98"/>
        <v>338.68577631122616</v>
      </c>
      <c r="Y58" s="47">
        <f t="shared" si="99"/>
        <v>14.620714197020773</v>
      </c>
      <c r="Z58" s="550">
        <f t="shared" si="100"/>
        <v>821.25</v>
      </c>
      <c r="AA58" s="536">
        <f t="shared" si="71"/>
        <v>-4.6095985990169751E-5</v>
      </c>
      <c r="AB58" s="536">
        <f t="shared" si="72"/>
        <v>5.5487907118662846E-2</v>
      </c>
      <c r="AC58" s="536">
        <f t="shared" si="73"/>
        <v>-1.2698701185120747E-2</v>
      </c>
      <c r="AD58" s="547">
        <f t="shared" si="101"/>
        <v>4.2651365785224396E-2</v>
      </c>
      <c r="AE58" s="536">
        <f t="shared" si="84"/>
        <v>0.30930207882303762</v>
      </c>
      <c r="AF58" s="547">
        <f t="shared" si="85"/>
        <v>1.3352250408238148E-2</v>
      </c>
      <c r="AG58" s="547">
        <f t="shared" si="102"/>
        <v>4.2651365785224396E-2</v>
      </c>
      <c r="AH58" s="549">
        <f t="shared" si="103"/>
        <v>254.01433223341965</v>
      </c>
      <c r="AI58" s="47">
        <f t="shared" si="104"/>
        <v>10.965535647765579</v>
      </c>
      <c r="AJ58" s="550">
        <f t="shared" si="105"/>
        <v>547.5</v>
      </c>
      <c r="AK58" s="536">
        <f t="shared" si="74"/>
        <v>-3.0730657326779832E-5</v>
      </c>
      <c r="AL58" s="536">
        <f t="shared" si="75"/>
        <v>3.6991938079108562E-2</v>
      </c>
      <c r="AM58" s="536">
        <f t="shared" si="76"/>
        <v>-8.4658007900804966E-3</v>
      </c>
      <c r="AN58" s="547">
        <f t="shared" si="106"/>
        <v>2.8434243856816258E-2</v>
      </c>
      <c r="AO58" s="536">
        <f t="shared" si="90"/>
        <v>0.30930207882303762</v>
      </c>
      <c r="AP58" s="547">
        <f t="shared" si="91"/>
        <v>1.3352250408238148E-2</v>
      </c>
      <c r="AQ58" s="547">
        <f t="shared" si="107"/>
        <v>2.8434243856816258E-2</v>
      </c>
      <c r="AR58" s="549">
        <f t="shared" si="108"/>
        <v>169.34288815561308</v>
      </c>
      <c r="AS58" s="47">
        <f t="shared" si="109"/>
        <v>7.3103570985103863</v>
      </c>
    </row>
    <row r="59" spans="1:45">
      <c r="A59" s="551" t="str">
        <f t="shared" si="65"/>
        <v>PGECommonNoRepl</v>
      </c>
      <c r="B59" s="45" t="s">
        <v>237</v>
      </c>
      <c r="C59" t="s">
        <v>387</v>
      </c>
      <c r="E59" s="45" t="s">
        <v>411</v>
      </c>
      <c r="F59" s="536">
        <f>VLOOKUP($B59&amp;$C59&amp;"BaseWorkpaper",t.EARTeamUECCalcs,F$32,FALSE)</f>
        <v>2.9439441692931112E-2</v>
      </c>
      <c r="G59" s="536">
        <f>VLOOKUP($B59&amp;$C59&amp;"BaseWorkpaper",t.EARTeamUECCalcs,G$32,FALSE)</f>
        <v>1.0837460603331834E-2</v>
      </c>
      <c r="H59" s="536">
        <f>VLOOKUP($B59&amp;$C59&amp;"BaseWorkpaper",t.EARTeamUECCalcs,H$32,FALSE)</f>
        <v>5.6636650157586677E-2</v>
      </c>
      <c r="I59" s="536">
        <f>VLOOKUP($B59&amp;$C59&amp;"BaseWorkpaper",t.EARTeamUECCalcs,I$32,FALSE)</f>
        <v>2.179356145880234</v>
      </c>
      <c r="J59" s="536">
        <f>VLOOKUP($B59&amp;$C59&amp;"BaseWorkpaper",t.EARTeamUECCalcs,J$32,FALSE)</f>
        <v>0.21</v>
      </c>
      <c r="K59" s="536">
        <f t="shared" si="67"/>
        <v>1.0572999999999999</v>
      </c>
      <c r="L59" s="536">
        <f t="shared" si="67"/>
        <v>1.2199</v>
      </c>
      <c r="M59" s="536">
        <f t="shared" si="67"/>
        <v>-3.7190999999999999E-3</v>
      </c>
      <c r="N59" s="47">
        <v>0.2</v>
      </c>
      <c r="O59" s="47">
        <v>0.15</v>
      </c>
      <c r="P59" s="655">
        <f t="shared" si="95"/>
        <v>1095</v>
      </c>
      <c r="Q59" s="536">
        <f t="shared" si="68"/>
        <v>1.9804201388369204E-3</v>
      </c>
      <c r="R59" s="536">
        <f t="shared" si="69"/>
        <v>0.39825204067383824</v>
      </c>
      <c r="S59" s="536">
        <f t="shared" si="70"/>
        <v>3.8375062607184374E-2</v>
      </c>
      <c r="T59" s="547">
        <f t="shared" si="96"/>
        <v>0.44537038289337338</v>
      </c>
      <c r="U59" s="536">
        <f t="shared" si="78"/>
        <v>2.5422206897793784</v>
      </c>
      <c r="V59" s="547">
        <f t="shared" si="79"/>
        <v>8.3674032162089157E-2</v>
      </c>
      <c r="W59" s="547">
        <f t="shared" si="97"/>
        <v>0.44537038289337338</v>
      </c>
      <c r="X59" s="549">
        <f t="shared" si="98"/>
        <v>2783.7316553084192</v>
      </c>
      <c r="Y59" s="47">
        <f t="shared" si="99"/>
        <v>91.623065217487621</v>
      </c>
      <c r="Z59" s="550">
        <f t="shared" si="100"/>
        <v>821.25</v>
      </c>
      <c r="AA59" s="536">
        <f t="shared" si="71"/>
        <v>1.4853151041276903E-3</v>
      </c>
      <c r="AB59" s="536">
        <f t="shared" si="72"/>
        <v>0.29868903050537871</v>
      </c>
      <c r="AC59" s="536">
        <f t="shared" si="73"/>
        <v>2.8781296955388284E-2</v>
      </c>
      <c r="AD59" s="547">
        <f t="shared" si="101"/>
        <v>0.33402778717003007</v>
      </c>
      <c r="AE59" s="536">
        <f t="shared" si="84"/>
        <v>2.5422206897793784</v>
      </c>
      <c r="AF59" s="547">
        <f t="shared" si="85"/>
        <v>8.3674032162089157E-2</v>
      </c>
      <c r="AG59" s="547">
        <f t="shared" si="102"/>
        <v>0.33402778717003007</v>
      </c>
      <c r="AH59" s="549">
        <f t="shared" si="103"/>
        <v>2087.7987414813147</v>
      </c>
      <c r="AI59" s="47">
        <f t="shared" si="104"/>
        <v>68.717298913115727</v>
      </c>
      <c r="AJ59" s="550">
        <f t="shared" si="105"/>
        <v>547.5</v>
      </c>
      <c r="AK59" s="536">
        <f t="shared" si="74"/>
        <v>9.9021006941846018E-4</v>
      </c>
      <c r="AL59" s="536">
        <f t="shared" si="75"/>
        <v>0.19912602033691912</v>
      </c>
      <c r="AM59" s="536">
        <f t="shared" si="76"/>
        <v>1.9187531303592187E-2</v>
      </c>
      <c r="AN59" s="547">
        <f t="shared" si="106"/>
        <v>0.22268519144668669</v>
      </c>
      <c r="AO59" s="536">
        <f t="shared" si="90"/>
        <v>2.5422206897793784</v>
      </c>
      <c r="AP59" s="547">
        <f t="shared" si="91"/>
        <v>8.3674032162089157E-2</v>
      </c>
      <c r="AQ59" s="547">
        <f t="shared" si="107"/>
        <v>0.22268519144668669</v>
      </c>
      <c r="AR59" s="549">
        <f t="shared" si="108"/>
        <v>1391.8658276542096</v>
      </c>
      <c r="AS59" s="47">
        <f t="shared" si="109"/>
        <v>45.811532608743811</v>
      </c>
    </row>
    <row r="60" spans="1:45">
      <c r="A60" s="551" t="str">
        <f t="shared" si="65"/>
        <v>SDGECommonWorkpaper</v>
      </c>
      <c r="B60" s="45" t="s">
        <v>395</v>
      </c>
      <c r="C60" t="s">
        <v>387</v>
      </c>
      <c r="E60" t="s">
        <v>345</v>
      </c>
      <c r="F60" s="536">
        <f t="shared" ref="F60:J61" si="111">VLOOKUP($B60&amp;$C60&amp;"BaseWorkpaper",t.EARTeamUECCalcs,F$32,FALSE)-VLOOKUP($B60&amp;$C60&amp;"Measure"&amp;$E60,t.EARTeamUECCalcs,F$32,FALSE)</f>
        <v>0</v>
      </c>
      <c r="G60" s="536">
        <f t="shared" si="111"/>
        <v>-2.5710479988783116E-3</v>
      </c>
      <c r="H60" s="536">
        <f t="shared" si="111"/>
        <v>5.0765608340170437E-2</v>
      </c>
      <c r="I60" s="536">
        <f t="shared" si="111"/>
        <v>0.6439413139322937</v>
      </c>
      <c r="J60" s="536">
        <f t="shared" si="111"/>
        <v>-1.8000000000000016E-2</v>
      </c>
      <c r="K60" s="536">
        <f t="shared" si="67"/>
        <v>1.1476</v>
      </c>
      <c r="L60" s="536">
        <f t="shared" si="67"/>
        <v>1.2516</v>
      </c>
      <c r="M60" s="536">
        <f t="shared" si="67"/>
        <v>-3.9308000000000002E-4</v>
      </c>
      <c r="N60" s="47">
        <v>0.2</v>
      </c>
      <c r="O60" s="47">
        <v>0.15</v>
      </c>
      <c r="P60" s="655">
        <f t="shared" si="95"/>
        <v>1095</v>
      </c>
      <c r="Q60" s="536">
        <f t="shared" si="68"/>
        <v>-4.6982918058586338E-4</v>
      </c>
      <c r="R60" s="536">
        <f t="shared" si="69"/>
        <v>0.11767280113097303</v>
      </c>
      <c r="S60" s="536">
        <f t="shared" si="70"/>
        <v>-3.2892910806158067E-3</v>
      </c>
      <c r="T60" s="547">
        <f t="shared" si="96"/>
        <v>0.1169018825956588</v>
      </c>
      <c r="U60" s="536">
        <f t="shared" si="78"/>
        <v>0.65124459285048841</v>
      </c>
      <c r="V60" s="547">
        <f t="shared" si="79"/>
        <v>5.0722059689834335E-2</v>
      </c>
      <c r="W60" s="547">
        <f t="shared" si="97"/>
        <v>0.1169018825956588</v>
      </c>
      <c r="X60" s="549">
        <f t="shared" si="98"/>
        <v>713.11282917128483</v>
      </c>
      <c r="Y60" s="47">
        <f t="shared" si="99"/>
        <v>55.540655360368596</v>
      </c>
      <c r="Z60" s="550">
        <f t="shared" si="100"/>
        <v>821.25</v>
      </c>
      <c r="AA60" s="536">
        <f t="shared" si="71"/>
        <v>-3.5237188543939756E-4</v>
      </c>
      <c r="AB60" s="536">
        <f t="shared" si="72"/>
        <v>8.8254600848229781E-2</v>
      </c>
      <c r="AC60" s="536">
        <f t="shared" si="73"/>
        <v>-2.4669683104618549E-3</v>
      </c>
      <c r="AD60" s="547">
        <f t="shared" si="101"/>
        <v>8.7676411946744109E-2</v>
      </c>
      <c r="AE60" s="536">
        <f t="shared" si="84"/>
        <v>0.65124459285048841</v>
      </c>
      <c r="AF60" s="547">
        <f t="shared" si="85"/>
        <v>5.0722059689834335E-2</v>
      </c>
      <c r="AG60" s="547">
        <f t="shared" si="102"/>
        <v>8.7676411946744109E-2</v>
      </c>
      <c r="AH60" s="549">
        <f t="shared" si="103"/>
        <v>534.83462187846362</v>
      </c>
      <c r="AI60" s="47">
        <f t="shared" si="104"/>
        <v>41.655491520276449</v>
      </c>
      <c r="AJ60" s="550">
        <f t="shared" si="105"/>
        <v>547.5</v>
      </c>
      <c r="AK60" s="536">
        <f t="shared" si="74"/>
        <v>-2.3491459029293169E-4</v>
      </c>
      <c r="AL60" s="536">
        <f t="shared" si="75"/>
        <v>5.8836400565486516E-2</v>
      </c>
      <c r="AM60" s="536">
        <f t="shared" si="76"/>
        <v>-1.6446455403079034E-3</v>
      </c>
      <c r="AN60" s="547">
        <f t="shared" si="106"/>
        <v>5.8450941297829399E-2</v>
      </c>
      <c r="AO60" s="536">
        <f t="shared" si="90"/>
        <v>0.65124459285048841</v>
      </c>
      <c r="AP60" s="547">
        <f t="shared" si="91"/>
        <v>5.0722059689834335E-2</v>
      </c>
      <c r="AQ60" s="547">
        <f t="shared" si="107"/>
        <v>5.8450941297829399E-2</v>
      </c>
      <c r="AR60" s="549">
        <f t="shared" si="108"/>
        <v>356.55641458564241</v>
      </c>
      <c r="AS60" s="47">
        <f t="shared" si="109"/>
        <v>27.770327680184298</v>
      </c>
    </row>
    <row r="61" spans="1:45">
      <c r="A61" s="551" t="str">
        <f t="shared" si="65"/>
        <v>SDGECommonEARAdj1</v>
      </c>
      <c r="B61" s="45" t="s">
        <v>395</v>
      </c>
      <c r="C61" t="s">
        <v>387</v>
      </c>
      <c r="E61" s="45" t="s">
        <v>399</v>
      </c>
      <c r="F61" s="536">
        <f t="shared" si="111"/>
        <v>2.7296589859737153E-3</v>
      </c>
      <c r="G61" s="536">
        <f t="shared" si="111"/>
        <v>-4.2071694527099669E-4</v>
      </c>
      <c r="H61" s="536">
        <f t="shared" si="111"/>
        <v>1.7580826064298338E-2</v>
      </c>
      <c r="I61" s="536">
        <f t="shared" si="111"/>
        <v>0.22224920692815675</v>
      </c>
      <c r="J61" s="536">
        <f t="shared" si="111"/>
        <v>-9.2654867256637158E-2</v>
      </c>
      <c r="K61" s="536">
        <f t="shared" si="67"/>
        <v>1.1476</v>
      </c>
      <c r="L61" s="536">
        <f t="shared" si="67"/>
        <v>1.2516</v>
      </c>
      <c r="M61" s="536">
        <f t="shared" si="67"/>
        <v>-3.9308000000000002E-4</v>
      </c>
      <c r="N61" s="47">
        <v>0.2</v>
      </c>
      <c r="O61" s="47">
        <v>0.15</v>
      </c>
      <c r="P61" s="655">
        <f t="shared" si="95"/>
        <v>1095</v>
      </c>
      <c r="Q61" s="536">
        <f t="shared" si="68"/>
        <v>-7.6881138641323151E-5</v>
      </c>
      <c r="R61" s="536">
        <f t="shared" si="69"/>
        <v>4.061346300126234E-2</v>
      </c>
      <c r="S61" s="536">
        <f t="shared" si="70"/>
        <v>-1.6931601580160993E-2</v>
      </c>
      <c r="T61" s="547">
        <f t="shared" si="96"/>
        <v>2.2304785317025528E-2</v>
      </c>
      <c r="U61" s="536">
        <f t="shared" si="78"/>
        <v>0.11704523821710353</v>
      </c>
      <c r="V61" s="547">
        <f t="shared" si="79"/>
        <v>2.0329433481841429E-2</v>
      </c>
      <c r="W61" s="547">
        <f t="shared" si="97"/>
        <v>2.2304785317025528E-2</v>
      </c>
      <c r="X61" s="549">
        <f t="shared" si="98"/>
        <v>128.16453584772836</v>
      </c>
      <c r="Y61" s="47">
        <f t="shared" si="99"/>
        <v>22.260729662616363</v>
      </c>
      <c r="Z61" s="550">
        <f t="shared" si="100"/>
        <v>821.25</v>
      </c>
      <c r="AA61" s="536">
        <f t="shared" si="71"/>
        <v>-5.766085398099236E-5</v>
      </c>
      <c r="AB61" s="536">
        <f t="shared" si="72"/>
        <v>3.0460097250946755E-2</v>
      </c>
      <c r="AC61" s="536">
        <f t="shared" si="73"/>
        <v>-1.2698701185120747E-2</v>
      </c>
      <c r="AD61" s="547">
        <f t="shared" si="101"/>
        <v>1.6728588987769147E-2</v>
      </c>
      <c r="AE61" s="536">
        <f t="shared" si="84"/>
        <v>0.11704523821710353</v>
      </c>
      <c r="AF61" s="547">
        <f t="shared" si="85"/>
        <v>2.0329433481841429E-2</v>
      </c>
      <c r="AG61" s="547">
        <f t="shared" si="102"/>
        <v>1.6728588987769147E-2</v>
      </c>
      <c r="AH61" s="549">
        <f t="shared" si="103"/>
        <v>96.12340188579627</v>
      </c>
      <c r="AI61" s="47">
        <f t="shared" si="104"/>
        <v>16.695547246962274</v>
      </c>
      <c r="AJ61" s="550">
        <f t="shared" si="105"/>
        <v>547.5</v>
      </c>
      <c r="AK61" s="536">
        <f t="shared" si="74"/>
        <v>-3.8440569320661576E-5</v>
      </c>
      <c r="AL61" s="536">
        <f t="shared" si="75"/>
        <v>2.030673150063117E-2</v>
      </c>
      <c r="AM61" s="536">
        <f t="shared" si="76"/>
        <v>-8.4658007900804966E-3</v>
      </c>
      <c r="AN61" s="547">
        <f t="shared" si="106"/>
        <v>1.1152392658512764E-2</v>
      </c>
      <c r="AO61" s="536">
        <f t="shared" si="90"/>
        <v>0.11704523821710353</v>
      </c>
      <c r="AP61" s="547">
        <f t="shared" si="91"/>
        <v>2.0329433481841429E-2</v>
      </c>
      <c r="AQ61" s="547">
        <f t="shared" si="107"/>
        <v>1.1152392658512764E-2</v>
      </c>
      <c r="AR61" s="549">
        <f t="shared" si="108"/>
        <v>64.08226792386418</v>
      </c>
      <c r="AS61" s="47">
        <f t="shared" si="109"/>
        <v>11.130364831308182</v>
      </c>
    </row>
    <row r="62" spans="1:45">
      <c r="A62" s="551" t="str">
        <f t="shared" si="65"/>
        <v>SDGECommonNoRepl</v>
      </c>
      <c r="B62" s="45" t="s">
        <v>395</v>
      </c>
      <c r="C62" t="s">
        <v>387</v>
      </c>
      <c r="E62" s="45" t="s">
        <v>411</v>
      </c>
      <c r="F62" s="536">
        <f>VLOOKUP($B62&amp;$C62&amp;"BaseWorkpaper",t.EARTeamUECCalcs,F$32,FALSE)</f>
        <v>2.9298805091215005E-2</v>
      </c>
      <c r="G62" s="536">
        <f>VLOOKUP($B62&amp;$C62&amp;"BaseWorkpaper",t.EARTeamUECCalcs,G$32,FALSE)</f>
        <v>1.3556434903176559E-2</v>
      </c>
      <c r="H62" s="536">
        <f>VLOOKUP($B62&amp;$C62&amp;"BaseWorkpaper",t.EARTeamUECCalcs,H$32,FALSE)</f>
        <v>9.4237673121562893E-2</v>
      </c>
      <c r="I62" s="536">
        <f>VLOOKUP($B62&amp;$C62&amp;"BaseWorkpaper",t.EARTeamUECCalcs,I$32,FALSE)</f>
        <v>1.1963579741077131</v>
      </c>
      <c r="J62" s="536">
        <f>VLOOKUP($B62&amp;$C62&amp;"BaseWorkpaper",t.EARTeamUECCalcs,J$32,FALSE)</f>
        <v>0.21</v>
      </c>
      <c r="K62" s="536">
        <f t="shared" si="67"/>
        <v>1.1476</v>
      </c>
      <c r="L62" s="536">
        <f t="shared" si="67"/>
        <v>1.2516</v>
      </c>
      <c r="M62" s="536">
        <f t="shared" si="67"/>
        <v>-3.9308000000000002E-4</v>
      </c>
      <c r="N62" s="47">
        <v>0.2</v>
      </c>
      <c r="O62" s="47">
        <v>0.15</v>
      </c>
      <c r="P62" s="655">
        <f t="shared" si="95"/>
        <v>1095</v>
      </c>
      <c r="Q62" s="536">
        <f t="shared" si="68"/>
        <v>2.4772811339981902E-3</v>
      </c>
      <c r="R62" s="536">
        <f t="shared" si="69"/>
        <v>0.21862053408089405</v>
      </c>
      <c r="S62" s="536">
        <f t="shared" si="70"/>
        <v>3.8375062607184374E-2</v>
      </c>
      <c r="T62" s="547">
        <f t="shared" si="96"/>
        <v>0.271590715228965</v>
      </c>
      <c r="U62" s="536">
        <f t="shared" si="78"/>
        <v>1.5329511422679898</v>
      </c>
      <c r="V62" s="547">
        <f t="shared" si="79"/>
        <v>0.12335987853428544</v>
      </c>
      <c r="W62" s="547">
        <f t="shared" si="97"/>
        <v>0.271590715228965</v>
      </c>
      <c r="X62" s="549">
        <f t="shared" si="98"/>
        <v>1678.5815007834487</v>
      </c>
      <c r="Y62" s="47">
        <f t="shared" si="99"/>
        <v>135.07906699504255</v>
      </c>
      <c r="Z62" s="550">
        <f t="shared" si="100"/>
        <v>821.25</v>
      </c>
      <c r="AA62" s="536">
        <f t="shared" si="71"/>
        <v>1.8579608504986425E-3</v>
      </c>
      <c r="AB62" s="536">
        <f t="shared" si="72"/>
        <v>0.16396540056067055</v>
      </c>
      <c r="AC62" s="536">
        <f t="shared" si="73"/>
        <v>2.8781296955388284E-2</v>
      </c>
      <c r="AD62" s="547">
        <f t="shared" si="101"/>
        <v>0.20369303642172376</v>
      </c>
      <c r="AE62" s="536">
        <f t="shared" si="84"/>
        <v>1.5329511422679898</v>
      </c>
      <c r="AF62" s="547">
        <f t="shared" si="85"/>
        <v>0.12335987853428544</v>
      </c>
      <c r="AG62" s="547">
        <f t="shared" si="102"/>
        <v>0.20369303642172376</v>
      </c>
      <c r="AH62" s="549">
        <f t="shared" si="103"/>
        <v>1258.9361255875865</v>
      </c>
      <c r="AI62" s="47">
        <f t="shared" si="104"/>
        <v>101.30930024628192</v>
      </c>
      <c r="AJ62" s="550">
        <f t="shared" si="105"/>
        <v>547.5</v>
      </c>
      <c r="AK62" s="536">
        <f t="shared" si="74"/>
        <v>1.2386405669990951E-3</v>
      </c>
      <c r="AL62" s="536">
        <f t="shared" si="75"/>
        <v>0.10931026704044702</v>
      </c>
      <c r="AM62" s="536">
        <f t="shared" si="76"/>
        <v>1.9187531303592187E-2</v>
      </c>
      <c r="AN62" s="547">
        <f t="shared" si="106"/>
        <v>0.1357953576144825</v>
      </c>
      <c r="AO62" s="536">
        <f t="shared" si="90"/>
        <v>1.5329511422679898</v>
      </c>
      <c r="AP62" s="547">
        <f t="shared" si="91"/>
        <v>0.12335987853428544</v>
      </c>
      <c r="AQ62" s="547">
        <f t="shared" si="107"/>
        <v>0.1357953576144825</v>
      </c>
      <c r="AR62" s="549">
        <f t="shared" si="108"/>
        <v>839.29075039172437</v>
      </c>
      <c r="AS62" s="47">
        <f t="shared" si="109"/>
        <v>67.539533497521276</v>
      </c>
    </row>
    <row r="63" spans="1:45">
      <c r="A63" s="551" t="str">
        <f t="shared" si="65"/>
        <v>SCGCommonWorkpaper</v>
      </c>
      <c r="B63" s="45" t="s">
        <v>301</v>
      </c>
      <c r="C63" t="s">
        <v>387</v>
      </c>
      <c r="E63" t="s">
        <v>345</v>
      </c>
      <c r="F63" s="536">
        <f t="shared" ref="F63:J64" si="112">VLOOKUP($B63&amp;$C63&amp;"BaseWorkpaper",t.EARTeamUECCalcs,F$32,FALSE)-VLOOKUP($B63&amp;$C63&amp;"Measure"&amp;$E63,t.EARTeamUECCalcs,F$32,FALSE)</f>
        <v>0</v>
      </c>
      <c r="G63" s="536">
        <f t="shared" si="112"/>
        <v>-1.2638888888888821E-3</v>
      </c>
      <c r="H63" s="536">
        <f t="shared" si="112"/>
        <v>5.9172394456565663E-2</v>
      </c>
      <c r="I63" s="536">
        <f t="shared" si="112"/>
        <v>0.42434595959595955</v>
      </c>
      <c r="J63" s="536">
        <f t="shared" si="112"/>
        <v>-1.8000000000000016E-2</v>
      </c>
      <c r="K63" s="536">
        <f t="shared" si="67"/>
        <v>1.1355999999999999</v>
      </c>
      <c r="L63" s="536">
        <f t="shared" si="67"/>
        <v>1.2810999999999999</v>
      </c>
      <c r="M63" s="536">
        <f t="shared" si="67"/>
        <v>-1.7047E-3</v>
      </c>
      <c r="N63" s="47">
        <v>0.2</v>
      </c>
      <c r="O63" s="47">
        <v>0.15</v>
      </c>
      <c r="P63" s="655">
        <f t="shared" si="95"/>
        <v>1095</v>
      </c>
      <c r="Q63" s="536">
        <f t="shared" si="68"/>
        <v>-2.3096102495064546E-4</v>
      </c>
      <c r="R63" s="536">
        <f t="shared" si="69"/>
        <v>7.754429888857467E-2</v>
      </c>
      <c r="S63" s="536">
        <f t="shared" si="70"/>
        <v>-3.2892910806158067E-3</v>
      </c>
      <c r="T63" s="547">
        <f t="shared" si="96"/>
        <v>7.5681020298334858E-2</v>
      </c>
      <c r="U63" s="536">
        <f t="shared" si="78"/>
        <v>0.4238790005555555</v>
      </c>
      <c r="V63" s="547">
        <f t="shared" si="79"/>
        <v>5.9058402545101016E-2</v>
      </c>
      <c r="W63" s="547">
        <f t="shared" si="97"/>
        <v>7.5681020298334858E-2</v>
      </c>
      <c r="X63" s="549">
        <f t="shared" si="98"/>
        <v>464.14750560833329</v>
      </c>
      <c r="Y63" s="47">
        <f t="shared" si="99"/>
        <v>64.668950786885617</v>
      </c>
      <c r="Z63" s="550">
        <f t="shared" si="100"/>
        <v>821.25</v>
      </c>
      <c r="AA63" s="536">
        <f t="shared" si="71"/>
        <v>-1.7322076871298408E-4</v>
      </c>
      <c r="AB63" s="536">
        <f t="shared" si="72"/>
        <v>5.8158224166431002E-2</v>
      </c>
      <c r="AC63" s="536">
        <f t="shared" si="73"/>
        <v>-2.4669683104618549E-3</v>
      </c>
      <c r="AD63" s="547">
        <f t="shared" si="101"/>
        <v>5.6760765223751147E-2</v>
      </c>
      <c r="AE63" s="536">
        <f t="shared" si="84"/>
        <v>0.4238790005555555</v>
      </c>
      <c r="AF63" s="547">
        <f t="shared" si="85"/>
        <v>5.9058402545101016E-2</v>
      </c>
      <c r="AG63" s="547">
        <f t="shared" si="102"/>
        <v>5.6760765223751147E-2</v>
      </c>
      <c r="AH63" s="549">
        <f t="shared" si="103"/>
        <v>348.11062920624994</v>
      </c>
      <c r="AI63" s="47">
        <f t="shared" si="104"/>
        <v>48.501713090164209</v>
      </c>
      <c r="AJ63" s="550">
        <f t="shared" si="105"/>
        <v>547.5</v>
      </c>
      <c r="AK63" s="536">
        <f t="shared" si="74"/>
        <v>-1.1548051247532273E-4</v>
      </c>
      <c r="AL63" s="536">
        <f t="shared" si="75"/>
        <v>3.8772149444287335E-2</v>
      </c>
      <c r="AM63" s="536">
        <f t="shared" si="76"/>
        <v>-1.6446455403079034E-3</v>
      </c>
      <c r="AN63" s="547">
        <f t="shared" si="106"/>
        <v>3.7840510149167429E-2</v>
      </c>
      <c r="AO63" s="536">
        <f t="shared" si="90"/>
        <v>0.4238790005555555</v>
      </c>
      <c r="AP63" s="547">
        <f t="shared" si="91"/>
        <v>5.9058402545101016E-2</v>
      </c>
      <c r="AQ63" s="547">
        <f t="shared" si="107"/>
        <v>3.7840510149167429E-2</v>
      </c>
      <c r="AR63" s="549">
        <f t="shared" si="108"/>
        <v>232.07375280416665</v>
      </c>
      <c r="AS63" s="47">
        <f t="shared" si="109"/>
        <v>32.334475393442808</v>
      </c>
    </row>
    <row r="64" spans="1:45">
      <c r="A64" s="551" t="str">
        <f t="shared" si="65"/>
        <v>SCGCommonEARAdj1</v>
      </c>
      <c r="B64" s="45" t="s">
        <v>301</v>
      </c>
      <c r="C64" t="s">
        <v>387</v>
      </c>
      <c r="E64" s="45" t="s">
        <v>399</v>
      </c>
      <c r="F64" s="536">
        <f t="shared" si="112"/>
        <v>2.7628725521885548E-3</v>
      </c>
      <c r="G64" s="536">
        <f t="shared" si="112"/>
        <v>-2.0681818181818041E-4</v>
      </c>
      <c r="H64" s="536">
        <f t="shared" si="112"/>
        <v>2.0492211336818583E-2</v>
      </c>
      <c r="I64" s="536">
        <f t="shared" si="112"/>
        <v>0.14645830441822816</v>
      </c>
      <c r="J64" s="536">
        <f t="shared" si="112"/>
        <v>-9.2654867256637158E-2</v>
      </c>
      <c r="K64" s="536">
        <f t="shared" si="67"/>
        <v>1.1355999999999999</v>
      </c>
      <c r="L64" s="536">
        <f t="shared" si="67"/>
        <v>1.2810999999999999</v>
      </c>
      <c r="M64" s="536">
        <f t="shared" si="67"/>
        <v>-1.7047E-3</v>
      </c>
      <c r="N64" s="47">
        <v>0.2</v>
      </c>
      <c r="O64" s="47">
        <v>0.15</v>
      </c>
      <c r="P64" s="655">
        <f t="shared" si="95"/>
        <v>1095</v>
      </c>
      <c r="Q64" s="536">
        <f t="shared" si="68"/>
        <v>-3.7793622264651023E-5</v>
      </c>
      <c r="R64" s="536">
        <f t="shared" si="69"/>
        <v>2.6763555244721779E-2</v>
      </c>
      <c r="S64" s="536">
        <f t="shared" si="70"/>
        <v>-1.6931601580160993E-2</v>
      </c>
      <c r="T64" s="547">
        <f t="shared" si="96"/>
        <v>8.2240624862631589E-3</v>
      </c>
      <c r="U64" s="536">
        <f t="shared" si="78"/>
        <v>3.5785221668324901E-2</v>
      </c>
      <c r="V64" s="547">
        <f t="shared" si="79"/>
        <v>2.3363099146911176E-2</v>
      </c>
      <c r="W64" s="547">
        <f t="shared" si="97"/>
        <v>8.2240624862631589E-3</v>
      </c>
      <c r="X64" s="549">
        <f t="shared" si="98"/>
        <v>39.184817726815766</v>
      </c>
      <c r="Y64" s="47">
        <f t="shared" si="99"/>
        <v>25.582593565867736</v>
      </c>
      <c r="Z64" s="550">
        <f t="shared" si="100"/>
        <v>821.25</v>
      </c>
      <c r="AA64" s="536">
        <f t="shared" si="71"/>
        <v>-2.8345216698488266E-5</v>
      </c>
      <c r="AB64" s="536">
        <f t="shared" si="72"/>
        <v>2.0072666433541334E-2</v>
      </c>
      <c r="AC64" s="536">
        <f t="shared" si="73"/>
        <v>-1.2698701185120747E-2</v>
      </c>
      <c r="AD64" s="547">
        <f t="shared" si="101"/>
        <v>6.1680468646973692E-3</v>
      </c>
      <c r="AE64" s="536">
        <f t="shared" si="84"/>
        <v>3.5785221668324901E-2</v>
      </c>
      <c r="AF64" s="547">
        <f t="shared" si="85"/>
        <v>2.3363099146911176E-2</v>
      </c>
      <c r="AG64" s="547">
        <f t="shared" si="102"/>
        <v>6.1680468646973692E-3</v>
      </c>
      <c r="AH64" s="549">
        <f t="shared" si="103"/>
        <v>29.388613295111824</v>
      </c>
      <c r="AI64" s="47">
        <f t="shared" si="104"/>
        <v>19.186945174400805</v>
      </c>
      <c r="AJ64" s="550">
        <f t="shared" si="105"/>
        <v>547.5</v>
      </c>
      <c r="AK64" s="536">
        <f t="shared" si="74"/>
        <v>-1.8896811132325512E-5</v>
      </c>
      <c r="AL64" s="536">
        <f t="shared" si="75"/>
        <v>1.3381777622360889E-2</v>
      </c>
      <c r="AM64" s="536">
        <f t="shared" si="76"/>
        <v>-8.4658007900804966E-3</v>
      </c>
      <c r="AN64" s="547">
        <f t="shared" si="106"/>
        <v>4.1120312431315795E-3</v>
      </c>
      <c r="AO64" s="536">
        <f t="shared" si="90"/>
        <v>3.5785221668324901E-2</v>
      </c>
      <c r="AP64" s="547">
        <f t="shared" si="91"/>
        <v>2.3363099146911176E-2</v>
      </c>
      <c r="AQ64" s="547">
        <f t="shared" si="107"/>
        <v>4.1120312431315795E-3</v>
      </c>
      <c r="AR64" s="549">
        <f t="shared" si="108"/>
        <v>19.592408863407883</v>
      </c>
      <c r="AS64" s="47">
        <f t="shared" si="109"/>
        <v>12.791296782933868</v>
      </c>
    </row>
    <row r="65" spans="1:45">
      <c r="A65" s="551" t="str">
        <f t="shared" si="65"/>
        <v>SCGCommonNoRepl</v>
      </c>
      <c r="B65" s="45" t="s">
        <v>301</v>
      </c>
      <c r="C65" t="s">
        <v>387</v>
      </c>
      <c r="E65" s="45" t="s">
        <v>411</v>
      </c>
      <c r="F65" s="536">
        <f>VLOOKUP($B65&amp;$C65&amp;"BaseWorkpaper",t.EARTeamUECCalcs,F$32,FALSE)</f>
        <v>2.9655303030303032E-2</v>
      </c>
      <c r="G65" s="536">
        <f>VLOOKUP($B65&amp;$C65&amp;"BaseWorkpaper",t.EARTeamUECCalcs,G$32,FALSE)</f>
        <v>6.6641414141413845E-3</v>
      </c>
      <c r="H65" s="536">
        <f>VLOOKUP($B65&amp;$C65&amp;"BaseWorkpaper",t.EARTeamUECCalcs,H$32,FALSE)</f>
        <v>0.10984343434343435</v>
      </c>
      <c r="I65" s="536">
        <f>VLOOKUP($B65&amp;$C65&amp;"BaseWorkpaper",t.EARTeamUECCalcs,I$32,FALSE)</f>
        <v>0.78837878787878779</v>
      </c>
      <c r="J65" s="536">
        <f>VLOOKUP($B65&amp;$C65&amp;"BaseWorkpaper",t.EARTeamUECCalcs,J$32,FALSE)</f>
        <v>0.21</v>
      </c>
      <c r="K65" s="536">
        <f t="shared" si="67"/>
        <v>1.1355999999999999</v>
      </c>
      <c r="L65" s="536">
        <f t="shared" si="67"/>
        <v>1.2810999999999999</v>
      </c>
      <c r="M65" s="536">
        <f t="shared" si="67"/>
        <v>-1.7047E-3</v>
      </c>
      <c r="N65" s="47">
        <v>0.2</v>
      </c>
      <c r="O65" s="47">
        <v>0.15</v>
      </c>
      <c r="P65" s="655">
        <f t="shared" si="95"/>
        <v>1095</v>
      </c>
      <c r="Q65" s="536">
        <f t="shared" si="68"/>
        <v>1.2177944951943136E-3</v>
      </c>
      <c r="R65" s="536">
        <f t="shared" si="69"/>
        <v>0.14406707306202196</v>
      </c>
      <c r="S65" s="536">
        <f t="shared" si="70"/>
        <v>3.8375062607184374E-2</v>
      </c>
      <c r="T65" s="547">
        <f t="shared" si="96"/>
        <v>0.19277068767537686</v>
      </c>
      <c r="U65" s="536">
        <f t="shared" si="78"/>
        <v>1.1083965847474746</v>
      </c>
      <c r="V65" s="547">
        <f t="shared" si="79"/>
        <v>0.138871960509798</v>
      </c>
      <c r="W65" s="547">
        <f t="shared" si="97"/>
        <v>0.19277068767537686</v>
      </c>
      <c r="X65" s="549">
        <f t="shared" si="98"/>
        <v>1213.6942602984848</v>
      </c>
      <c r="Y65" s="47">
        <f t="shared" si="99"/>
        <v>152.06479675822879</v>
      </c>
      <c r="Z65" s="550">
        <f t="shared" si="100"/>
        <v>821.25</v>
      </c>
      <c r="AA65" s="536">
        <f t="shared" si="71"/>
        <v>9.1334587139573528E-4</v>
      </c>
      <c r="AB65" s="536">
        <f t="shared" si="72"/>
        <v>0.10805030479651648</v>
      </c>
      <c r="AC65" s="536">
        <f t="shared" si="73"/>
        <v>2.8781296955388284E-2</v>
      </c>
      <c r="AD65" s="547">
        <f t="shared" si="101"/>
        <v>0.14457801575653267</v>
      </c>
      <c r="AE65" s="536">
        <f t="shared" si="84"/>
        <v>1.1083965847474746</v>
      </c>
      <c r="AF65" s="547">
        <f t="shared" si="85"/>
        <v>0.138871960509798</v>
      </c>
      <c r="AG65" s="547">
        <f t="shared" si="102"/>
        <v>0.14457801575653267</v>
      </c>
      <c r="AH65" s="549">
        <f t="shared" si="103"/>
        <v>910.27069522386353</v>
      </c>
      <c r="AI65" s="47">
        <f t="shared" si="104"/>
        <v>114.04859756867161</v>
      </c>
      <c r="AJ65" s="550">
        <f t="shared" si="105"/>
        <v>547.5</v>
      </c>
      <c r="AK65" s="536">
        <f t="shared" si="74"/>
        <v>6.0889724759715682E-4</v>
      </c>
      <c r="AL65" s="536">
        <f t="shared" si="75"/>
        <v>7.203353653101098E-2</v>
      </c>
      <c r="AM65" s="536">
        <f t="shared" si="76"/>
        <v>1.9187531303592187E-2</v>
      </c>
      <c r="AN65" s="547">
        <f t="shared" si="106"/>
        <v>9.6385343837688431E-2</v>
      </c>
      <c r="AO65" s="536">
        <f t="shared" si="90"/>
        <v>1.1083965847474746</v>
      </c>
      <c r="AP65" s="547">
        <f t="shared" si="91"/>
        <v>0.138871960509798</v>
      </c>
      <c r="AQ65" s="547">
        <f t="shared" si="107"/>
        <v>9.6385343837688431E-2</v>
      </c>
      <c r="AR65" s="549">
        <f t="shared" si="108"/>
        <v>606.84713014924239</v>
      </c>
      <c r="AS65" s="47">
        <f t="shared" si="109"/>
        <v>76.032398379114397</v>
      </c>
    </row>
  </sheetData>
  <mergeCells count="43">
    <mergeCell ref="AJ33:AS33"/>
    <mergeCell ref="AK34:AM34"/>
    <mergeCell ref="AN34:AP34"/>
    <mergeCell ref="AQ34:AR34"/>
    <mergeCell ref="O4:P4"/>
    <mergeCell ref="Z33:AI33"/>
    <mergeCell ref="AA34:AC34"/>
    <mergeCell ref="AD34:AF34"/>
    <mergeCell ref="AG34:AH34"/>
    <mergeCell ref="O3:S3"/>
    <mergeCell ref="H4:I4"/>
    <mergeCell ref="Q4:R4"/>
    <mergeCell ref="F4:G4"/>
    <mergeCell ref="K4:L4"/>
    <mergeCell ref="M4:N4"/>
    <mergeCell ref="F3:J3"/>
    <mergeCell ref="K3:N3"/>
    <mergeCell ref="F33:J33"/>
    <mergeCell ref="F34:G34"/>
    <mergeCell ref="H34:I34"/>
    <mergeCell ref="Q34:S34"/>
    <mergeCell ref="K34:M34"/>
    <mergeCell ref="N34:O34"/>
    <mergeCell ref="P33:Y33"/>
    <mergeCell ref="T34:V34"/>
    <mergeCell ref="W34:X34"/>
    <mergeCell ref="F51:J51"/>
    <mergeCell ref="F52:G52"/>
    <mergeCell ref="H52:I52"/>
    <mergeCell ref="K52:M52"/>
    <mergeCell ref="Q52:S52"/>
    <mergeCell ref="T52:V52"/>
    <mergeCell ref="N52:O52"/>
    <mergeCell ref="P51:Y51"/>
    <mergeCell ref="AA52:AC52"/>
    <mergeCell ref="AD52:AF52"/>
    <mergeCell ref="W52:Y52"/>
    <mergeCell ref="AJ51:AS51"/>
    <mergeCell ref="AK52:AM52"/>
    <mergeCell ref="AN52:AP52"/>
    <mergeCell ref="AQ52:AS52"/>
    <mergeCell ref="AG52:AI52"/>
    <mergeCell ref="Z51:AI5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50"/>
  <sheetViews>
    <sheetView topLeftCell="F1" zoomScale="140" zoomScaleNormal="140" workbookViewId="0">
      <pane ySplit="1" topLeftCell="A29" activePane="bottomLeft" state="frozen"/>
      <selection activeCell="AD51" sqref="AD51:AG51"/>
      <selection pane="bottomLeft" activeCell="J52" sqref="J52"/>
    </sheetView>
  </sheetViews>
  <sheetFormatPr defaultRowHeight="14.4"/>
  <cols>
    <col min="1" max="1" width="28.33203125" customWidth="1"/>
    <col min="2" max="2" width="10.44140625" customWidth="1"/>
    <col min="3" max="3" width="22" customWidth="1"/>
    <col min="4" max="4" width="27.33203125" customWidth="1"/>
    <col min="5" max="5" width="18.109375" customWidth="1"/>
    <col min="6" max="6" width="23.109375" customWidth="1"/>
    <col min="7" max="8" width="22.33203125" customWidth="1"/>
    <col min="9" max="11" width="16.109375" customWidth="1"/>
    <col min="15" max="15" width="25.109375" bestFit="1" customWidth="1"/>
  </cols>
  <sheetData>
    <row r="1" spans="1:12">
      <c r="A1" s="616" t="s">
        <v>435</v>
      </c>
      <c r="B1" s="616" t="s">
        <v>436</v>
      </c>
      <c r="C1" s="616" t="s">
        <v>437</v>
      </c>
      <c r="D1" s="616" t="s">
        <v>438</v>
      </c>
      <c r="E1" s="616" t="s">
        <v>439</v>
      </c>
      <c r="F1" s="616" t="s">
        <v>440</v>
      </c>
      <c r="G1" s="616" t="s">
        <v>441</v>
      </c>
      <c r="H1" s="616" t="s">
        <v>442</v>
      </c>
      <c r="I1" s="616" t="s">
        <v>443</v>
      </c>
      <c r="J1" s="616"/>
      <c r="K1" s="616"/>
    </row>
    <row r="2" spans="1:12">
      <c r="A2" s="617" t="s">
        <v>444</v>
      </c>
      <c r="B2" s="44">
        <v>1</v>
      </c>
      <c r="C2" s="44">
        <v>1015</v>
      </c>
      <c r="D2" s="44">
        <v>569</v>
      </c>
      <c r="E2" s="44">
        <v>33</v>
      </c>
      <c r="F2" s="44">
        <v>20</v>
      </c>
      <c r="G2" s="167">
        <f>AVERAGE(C2/E2)</f>
        <v>30.757575757575758</v>
      </c>
      <c r="H2" s="618">
        <f>F2/E2</f>
        <v>0.60606060606060608</v>
      </c>
      <c r="I2" s="44">
        <v>10476999</v>
      </c>
      <c r="J2" s="624">
        <f>E2*26</f>
        <v>858</v>
      </c>
      <c r="K2" s="624">
        <f>SUMIF($A$2:$A$41,A2,$J$2:$J$41)/VLOOKUP(A2,$O$44:$R$49,2,FALSE)</f>
        <v>814.66666666666663</v>
      </c>
      <c r="L2" s="623">
        <v>12</v>
      </c>
    </row>
    <row r="3" spans="1:12">
      <c r="A3" s="617" t="s">
        <v>444</v>
      </c>
      <c r="B3" s="44">
        <v>2</v>
      </c>
      <c r="C3" s="44">
        <v>895</v>
      </c>
      <c r="D3" s="44">
        <v>573</v>
      </c>
      <c r="E3" s="44">
        <v>30</v>
      </c>
      <c r="F3" s="44">
        <v>20</v>
      </c>
      <c r="G3" s="167">
        <f t="shared" ref="G3:G42" si="0">AVERAGE(C3/E3)</f>
        <v>29.833333333333332</v>
      </c>
      <c r="H3" s="618">
        <f t="shared" ref="H3:H42" si="1">F3/E3</f>
        <v>0.66666666666666663</v>
      </c>
      <c r="I3" s="44">
        <v>10476999</v>
      </c>
      <c r="J3" s="624">
        <f t="shared" ref="J3:J41" si="2">E3*26</f>
        <v>780</v>
      </c>
      <c r="K3" s="624">
        <f t="shared" ref="K3:K42" si="3">SUMIF($A$2:$A$41,A3,$J$2:$J$41)/VLOOKUP(A3,$O$44:$R$49,2,FALSE)</f>
        <v>814.66666666666663</v>
      </c>
      <c r="L3" s="623">
        <v>12</v>
      </c>
    </row>
    <row r="4" spans="1:12">
      <c r="A4" s="617" t="s">
        <v>444</v>
      </c>
      <c r="B4" s="44">
        <v>3</v>
      </c>
      <c r="C4" s="44">
        <v>941</v>
      </c>
      <c r="D4" s="44">
        <v>483</v>
      </c>
      <c r="E4" s="44">
        <v>31</v>
      </c>
      <c r="F4" s="44">
        <v>17</v>
      </c>
      <c r="G4" s="167">
        <f t="shared" si="0"/>
        <v>30.35483870967742</v>
      </c>
      <c r="H4" s="618">
        <f t="shared" si="1"/>
        <v>0.54838709677419351</v>
      </c>
      <c r="I4" s="44">
        <v>10476999</v>
      </c>
      <c r="J4" s="624">
        <f t="shared" si="2"/>
        <v>806</v>
      </c>
      <c r="K4" s="624">
        <f t="shared" si="3"/>
        <v>814.66666666666663</v>
      </c>
      <c r="L4" s="623">
        <v>12</v>
      </c>
    </row>
    <row r="5" spans="1:12">
      <c r="A5" s="617" t="s">
        <v>445</v>
      </c>
      <c r="B5" s="44">
        <v>1</v>
      </c>
      <c r="C5" s="44">
        <v>489</v>
      </c>
      <c r="D5" s="44">
        <v>145</v>
      </c>
      <c r="E5" s="44">
        <v>16</v>
      </c>
      <c r="F5" s="44">
        <v>5</v>
      </c>
      <c r="G5" s="167">
        <f t="shared" si="0"/>
        <v>30.5625</v>
      </c>
      <c r="H5" s="618">
        <f t="shared" si="1"/>
        <v>0.3125</v>
      </c>
      <c r="I5" s="44">
        <v>10476990</v>
      </c>
      <c r="J5" s="624">
        <f t="shared" si="2"/>
        <v>416</v>
      </c>
      <c r="K5" s="624">
        <f t="shared" si="3"/>
        <v>460.57142857142856</v>
      </c>
      <c r="L5" s="623">
        <v>84</v>
      </c>
    </row>
    <row r="6" spans="1:12">
      <c r="A6" s="617" t="s">
        <v>445</v>
      </c>
      <c r="B6" s="44">
        <v>2</v>
      </c>
      <c r="C6" s="44">
        <v>736</v>
      </c>
      <c r="D6" s="44">
        <v>178</v>
      </c>
      <c r="E6" s="44">
        <v>18</v>
      </c>
      <c r="F6" s="44">
        <v>6</v>
      </c>
      <c r="G6" s="167">
        <f t="shared" si="0"/>
        <v>40.888888888888886</v>
      </c>
      <c r="H6" s="618">
        <f t="shared" si="1"/>
        <v>0.33333333333333331</v>
      </c>
      <c r="I6" s="44">
        <v>10476990</v>
      </c>
      <c r="J6" s="624">
        <f t="shared" si="2"/>
        <v>468</v>
      </c>
      <c r="K6" s="624">
        <f t="shared" si="3"/>
        <v>460.57142857142856</v>
      </c>
      <c r="L6" s="623">
        <v>84</v>
      </c>
    </row>
    <row r="7" spans="1:12">
      <c r="A7" s="617" t="s">
        <v>445</v>
      </c>
      <c r="B7" s="44">
        <v>3</v>
      </c>
      <c r="C7" s="44">
        <v>416</v>
      </c>
      <c r="D7" s="44">
        <v>109</v>
      </c>
      <c r="E7" s="44">
        <v>11</v>
      </c>
      <c r="F7" s="44">
        <v>3</v>
      </c>
      <c r="G7" s="167">
        <f t="shared" si="0"/>
        <v>37.81818181818182</v>
      </c>
      <c r="H7" s="618">
        <f t="shared" si="1"/>
        <v>0.27272727272727271</v>
      </c>
      <c r="I7" s="44">
        <v>10476990</v>
      </c>
      <c r="J7" s="624">
        <f t="shared" si="2"/>
        <v>286</v>
      </c>
      <c r="K7" s="624">
        <f t="shared" si="3"/>
        <v>460.57142857142856</v>
      </c>
      <c r="L7" s="623">
        <v>84</v>
      </c>
    </row>
    <row r="8" spans="1:12">
      <c r="A8" s="617" t="s">
        <v>445</v>
      </c>
      <c r="B8" s="44">
        <v>4</v>
      </c>
      <c r="C8" s="44">
        <v>773</v>
      </c>
      <c r="D8" s="44">
        <v>230</v>
      </c>
      <c r="E8" s="44">
        <v>18</v>
      </c>
      <c r="F8" s="44">
        <v>6</v>
      </c>
      <c r="G8" s="167">
        <f t="shared" si="0"/>
        <v>42.944444444444443</v>
      </c>
      <c r="H8" s="618">
        <f t="shared" si="1"/>
        <v>0.33333333333333331</v>
      </c>
      <c r="I8" s="44">
        <v>10476990</v>
      </c>
      <c r="J8" s="624">
        <f t="shared" si="2"/>
        <v>468</v>
      </c>
      <c r="K8" s="624">
        <f t="shared" si="3"/>
        <v>460.57142857142856</v>
      </c>
      <c r="L8" s="623">
        <v>84</v>
      </c>
    </row>
    <row r="9" spans="1:12">
      <c r="A9" s="617" t="s">
        <v>445</v>
      </c>
      <c r="B9" s="44">
        <v>5</v>
      </c>
      <c r="C9" s="44">
        <v>847</v>
      </c>
      <c r="D9" s="44">
        <v>223</v>
      </c>
      <c r="E9" s="617">
        <v>23</v>
      </c>
      <c r="F9" s="617">
        <v>7</v>
      </c>
      <c r="G9" s="167">
        <f t="shared" si="0"/>
        <v>36.826086956521742</v>
      </c>
      <c r="H9" s="618">
        <f t="shared" si="1"/>
        <v>0.30434782608695654</v>
      </c>
      <c r="I9" s="44">
        <v>10476998</v>
      </c>
      <c r="J9" s="624">
        <f t="shared" si="2"/>
        <v>598</v>
      </c>
      <c r="K9" s="624">
        <f t="shared" si="3"/>
        <v>460.57142857142856</v>
      </c>
      <c r="L9" s="623">
        <v>84</v>
      </c>
    </row>
    <row r="10" spans="1:12">
      <c r="A10" s="617" t="s">
        <v>445</v>
      </c>
      <c r="B10" s="44">
        <v>6</v>
      </c>
      <c r="C10" s="44">
        <v>678</v>
      </c>
      <c r="D10" s="44">
        <v>227</v>
      </c>
      <c r="E10" s="617">
        <v>17</v>
      </c>
      <c r="F10" s="617">
        <v>6</v>
      </c>
      <c r="G10" s="167">
        <f t="shared" si="0"/>
        <v>39.882352941176471</v>
      </c>
      <c r="H10" s="618">
        <f t="shared" si="1"/>
        <v>0.35294117647058826</v>
      </c>
      <c r="I10" s="44">
        <v>10476998</v>
      </c>
      <c r="J10" s="624">
        <f t="shared" si="2"/>
        <v>442</v>
      </c>
      <c r="K10" s="624">
        <f t="shared" si="3"/>
        <v>460.57142857142856</v>
      </c>
      <c r="L10" s="623">
        <v>84</v>
      </c>
    </row>
    <row r="11" spans="1:12">
      <c r="A11" s="617" t="s">
        <v>445</v>
      </c>
      <c r="B11" s="44">
        <v>7</v>
      </c>
      <c r="C11" s="44">
        <v>809</v>
      </c>
      <c r="D11" s="44">
        <v>192</v>
      </c>
      <c r="E11" s="617">
        <v>21</v>
      </c>
      <c r="F11" s="617">
        <v>5</v>
      </c>
      <c r="G11" s="167">
        <f t="shared" si="0"/>
        <v>38.523809523809526</v>
      </c>
      <c r="H11" s="618">
        <f t="shared" si="1"/>
        <v>0.23809523809523808</v>
      </c>
      <c r="I11" s="44">
        <v>10476998</v>
      </c>
      <c r="J11" s="624">
        <f t="shared" si="2"/>
        <v>546</v>
      </c>
      <c r="K11" s="624">
        <f t="shared" si="3"/>
        <v>460.57142857142856</v>
      </c>
      <c r="L11" s="623">
        <v>84</v>
      </c>
    </row>
    <row r="12" spans="1:12">
      <c r="A12" s="617" t="s">
        <v>446</v>
      </c>
      <c r="B12" s="44">
        <v>1</v>
      </c>
      <c r="C12" s="44">
        <v>177</v>
      </c>
      <c r="D12" s="44">
        <v>139</v>
      </c>
      <c r="E12" s="44">
        <v>8</v>
      </c>
      <c r="F12" s="44">
        <v>5</v>
      </c>
      <c r="G12" s="167">
        <f t="shared" si="0"/>
        <v>22.125</v>
      </c>
      <c r="H12" s="618">
        <f t="shared" si="1"/>
        <v>0.625</v>
      </c>
      <c r="I12" s="44">
        <v>10476991</v>
      </c>
      <c r="J12" s="624">
        <f t="shared" si="2"/>
        <v>208</v>
      </c>
      <c r="K12" s="624">
        <f t="shared" si="3"/>
        <v>190.125</v>
      </c>
      <c r="L12" s="623">
        <v>144</v>
      </c>
    </row>
    <row r="13" spans="1:12">
      <c r="A13" s="617" t="s">
        <v>446</v>
      </c>
      <c r="B13" s="44">
        <v>2</v>
      </c>
      <c r="C13" s="44">
        <v>181</v>
      </c>
      <c r="D13" s="44">
        <v>80</v>
      </c>
      <c r="E13" s="44">
        <v>6</v>
      </c>
      <c r="F13" s="44">
        <v>3</v>
      </c>
      <c r="G13" s="167">
        <f t="shared" si="0"/>
        <v>30.166666666666668</v>
      </c>
      <c r="H13" s="618">
        <f t="shared" si="1"/>
        <v>0.5</v>
      </c>
      <c r="I13" s="44">
        <v>10476991</v>
      </c>
      <c r="J13" s="624">
        <f t="shared" si="2"/>
        <v>156</v>
      </c>
      <c r="K13" s="624">
        <f t="shared" si="3"/>
        <v>190.125</v>
      </c>
      <c r="L13" s="623">
        <v>144</v>
      </c>
    </row>
    <row r="14" spans="1:12">
      <c r="A14" s="617" t="s">
        <v>446</v>
      </c>
      <c r="B14" s="44">
        <v>3</v>
      </c>
      <c r="C14" s="44">
        <v>60</v>
      </c>
      <c r="D14" s="44">
        <v>60</v>
      </c>
      <c r="E14" s="44">
        <v>2</v>
      </c>
      <c r="F14" s="44">
        <v>2</v>
      </c>
      <c r="G14" s="167">
        <f t="shared" si="0"/>
        <v>30</v>
      </c>
      <c r="H14" s="618">
        <f t="shared" si="1"/>
        <v>1</v>
      </c>
      <c r="I14" s="44">
        <v>10476991</v>
      </c>
      <c r="J14" s="624">
        <f t="shared" si="2"/>
        <v>52</v>
      </c>
      <c r="K14" s="624">
        <f t="shared" si="3"/>
        <v>190.125</v>
      </c>
      <c r="L14" s="623">
        <v>144</v>
      </c>
    </row>
    <row r="15" spans="1:12">
      <c r="A15" s="617" t="s">
        <v>446</v>
      </c>
      <c r="B15" s="44">
        <v>4</v>
      </c>
      <c r="C15" s="44">
        <v>121</v>
      </c>
      <c r="D15" s="44">
        <v>93</v>
      </c>
      <c r="E15" s="44">
        <v>4</v>
      </c>
      <c r="F15" s="44">
        <v>3</v>
      </c>
      <c r="G15" s="167">
        <f t="shared" si="0"/>
        <v>30.25</v>
      </c>
      <c r="H15" s="618">
        <f t="shared" si="1"/>
        <v>0.75</v>
      </c>
      <c r="I15" s="44">
        <v>10476991</v>
      </c>
      <c r="J15" s="624">
        <f t="shared" si="2"/>
        <v>104</v>
      </c>
      <c r="K15" s="624">
        <f t="shared" si="3"/>
        <v>190.125</v>
      </c>
      <c r="L15" s="623">
        <v>144</v>
      </c>
    </row>
    <row r="16" spans="1:12">
      <c r="A16" s="617" t="s">
        <v>446</v>
      </c>
      <c r="B16" s="44">
        <v>5</v>
      </c>
      <c r="C16" s="44">
        <v>319</v>
      </c>
      <c r="D16" s="44">
        <v>96</v>
      </c>
      <c r="E16" s="44">
        <v>10</v>
      </c>
      <c r="F16" s="44">
        <v>3</v>
      </c>
      <c r="G16" s="167">
        <f t="shared" si="0"/>
        <v>31.9</v>
      </c>
      <c r="H16" s="618">
        <f t="shared" si="1"/>
        <v>0.3</v>
      </c>
      <c r="I16" s="44">
        <v>10476993</v>
      </c>
      <c r="J16" s="624">
        <f t="shared" si="2"/>
        <v>260</v>
      </c>
      <c r="K16" s="624">
        <f t="shared" si="3"/>
        <v>190.125</v>
      </c>
      <c r="L16" s="623">
        <v>144</v>
      </c>
    </row>
    <row r="17" spans="1:12">
      <c r="A17" s="617" t="s">
        <v>446</v>
      </c>
      <c r="B17" s="44">
        <v>6</v>
      </c>
      <c r="C17" s="44">
        <v>214</v>
      </c>
      <c r="D17" s="44">
        <v>61</v>
      </c>
      <c r="E17" s="44">
        <v>7</v>
      </c>
      <c r="F17" s="44">
        <v>2</v>
      </c>
      <c r="G17" s="167">
        <f t="shared" si="0"/>
        <v>30.571428571428573</v>
      </c>
      <c r="H17" s="618">
        <f t="shared" si="1"/>
        <v>0.2857142857142857</v>
      </c>
      <c r="I17" s="44">
        <v>10476993</v>
      </c>
      <c r="J17" s="624">
        <f t="shared" si="2"/>
        <v>182</v>
      </c>
      <c r="K17" s="624">
        <f t="shared" si="3"/>
        <v>190.125</v>
      </c>
      <c r="L17" s="623">
        <v>144</v>
      </c>
    </row>
    <row r="18" spans="1:12">
      <c r="A18" s="617" t="s">
        <v>446</v>
      </c>
      <c r="B18" s="44">
        <v>7</v>
      </c>
      <c r="C18" s="44">
        <v>242</v>
      </c>
      <c r="D18" s="44">
        <v>89</v>
      </c>
      <c r="E18" s="44">
        <v>8</v>
      </c>
      <c r="F18" s="44">
        <v>3</v>
      </c>
      <c r="G18" s="167">
        <f t="shared" si="0"/>
        <v>30.25</v>
      </c>
      <c r="H18" s="618">
        <f t="shared" si="1"/>
        <v>0.375</v>
      </c>
      <c r="I18" s="44">
        <v>10476993</v>
      </c>
      <c r="J18" s="624">
        <f t="shared" si="2"/>
        <v>208</v>
      </c>
      <c r="K18" s="624">
        <f t="shared" si="3"/>
        <v>190.125</v>
      </c>
      <c r="L18" s="623">
        <v>144</v>
      </c>
    </row>
    <row r="19" spans="1:12">
      <c r="A19" s="617" t="s">
        <v>446</v>
      </c>
      <c r="B19" s="44">
        <v>8</v>
      </c>
      <c r="C19" s="44">
        <v>213</v>
      </c>
      <c r="D19" s="44">
        <v>61</v>
      </c>
      <c r="E19" s="44">
        <v>7</v>
      </c>
      <c r="F19" s="44">
        <v>2</v>
      </c>
      <c r="G19" s="167">
        <f t="shared" si="0"/>
        <v>30.428571428571427</v>
      </c>
      <c r="H19" s="618">
        <f t="shared" si="1"/>
        <v>0.2857142857142857</v>
      </c>
      <c r="I19" s="44">
        <v>10476993</v>
      </c>
      <c r="J19" s="624">
        <f t="shared" si="2"/>
        <v>182</v>
      </c>
      <c r="K19" s="624">
        <f t="shared" si="3"/>
        <v>190.125</v>
      </c>
      <c r="L19" s="623">
        <v>144</v>
      </c>
    </row>
    <row r="20" spans="1:12">
      <c r="A20" s="617" t="s">
        <v>446</v>
      </c>
      <c r="B20" s="44">
        <v>9</v>
      </c>
      <c r="C20" s="44">
        <v>116</v>
      </c>
      <c r="D20" s="44">
        <v>56</v>
      </c>
      <c r="E20" s="44">
        <v>4</v>
      </c>
      <c r="F20" s="44">
        <v>2</v>
      </c>
      <c r="G20" s="167">
        <f t="shared" si="0"/>
        <v>29</v>
      </c>
      <c r="H20" s="618">
        <f t="shared" si="1"/>
        <v>0.5</v>
      </c>
      <c r="I20" s="44">
        <v>10476997</v>
      </c>
      <c r="J20" s="624">
        <f t="shared" si="2"/>
        <v>104</v>
      </c>
      <c r="K20" s="624">
        <f t="shared" si="3"/>
        <v>190.125</v>
      </c>
      <c r="L20" s="623">
        <v>144</v>
      </c>
    </row>
    <row r="21" spans="1:12">
      <c r="A21" s="617" t="s">
        <v>446</v>
      </c>
      <c r="B21" s="44">
        <v>10</v>
      </c>
      <c r="C21" s="44">
        <v>142</v>
      </c>
      <c r="D21" s="44">
        <v>56</v>
      </c>
      <c r="E21" s="44">
        <v>5</v>
      </c>
      <c r="F21" s="44">
        <v>2</v>
      </c>
      <c r="G21" s="167">
        <f t="shared" si="0"/>
        <v>28.4</v>
      </c>
      <c r="H21" s="618">
        <f t="shared" si="1"/>
        <v>0.4</v>
      </c>
      <c r="I21" s="44">
        <v>10476997</v>
      </c>
      <c r="J21" s="624">
        <f t="shared" si="2"/>
        <v>130</v>
      </c>
      <c r="K21" s="624">
        <f t="shared" si="3"/>
        <v>190.125</v>
      </c>
      <c r="L21" s="623">
        <v>144</v>
      </c>
    </row>
    <row r="22" spans="1:12">
      <c r="A22" s="617" t="s">
        <v>446</v>
      </c>
      <c r="B22" s="44">
        <v>11</v>
      </c>
      <c r="C22" s="44">
        <v>206</v>
      </c>
      <c r="D22" s="44">
        <v>118</v>
      </c>
      <c r="E22" s="44">
        <v>7</v>
      </c>
      <c r="F22" s="44">
        <v>4</v>
      </c>
      <c r="G22" s="167">
        <f t="shared" si="0"/>
        <v>29.428571428571427</v>
      </c>
      <c r="H22" s="618">
        <f t="shared" si="1"/>
        <v>0.5714285714285714</v>
      </c>
      <c r="I22" s="44">
        <v>10476997</v>
      </c>
      <c r="J22" s="624">
        <f t="shared" si="2"/>
        <v>182</v>
      </c>
      <c r="K22" s="624">
        <f t="shared" si="3"/>
        <v>190.125</v>
      </c>
      <c r="L22" s="623">
        <v>144</v>
      </c>
    </row>
    <row r="23" spans="1:12">
      <c r="A23" s="617" t="s">
        <v>446</v>
      </c>
      <c r="B23" s="44">
        <v>12</v>
      </c>
      <c r="C23" s="44">
        <v>193</v>
      </c>
      <c r="D23" s="44">
        <v>109</v>
      </c>
      <c r="E23" s="44">
        <v>7</v>
      </c>
      <c r="F23" s="44">
        <v>4</v>
      </c>
      <c r="G23" s="167">
        <f t="shared" si="0"/>
        <v>27.571428571428573</v>
      </c>
      <c r="H23" s="618">
        <f t="shared" si="1"/>
        <v>0.5714285714285714</v>
      </c>
      <c r="I23" s="44">
        <v>10476997</v>
      </c>
      <c r="J23" s="624">
        <f t="shared" si="2"/>
        <v>182</v>
      </c>
      <c r="K23" s="624">
        <f t="shared" si="3"/>
        <v>190.125</v>
      </c>
      <c r="L23" s="623">
        <v>144</v>
      </c>
    </row>
    <row r="24" spans="1:12">
      <c r="A24" s="617" t="s">
        <v>446</v>
      </c>
      <c r="B24" s="44">
        <v>13</v>
      </c>
      <c r="C24" s="44">
        <v>406</v>
      </c>
      <c r="D24" s="44">
        <v>196</v>
      </c>
      <c r="E24" s="44">
        <v>13</v>
      </c>
      <c r="F24" s="44">
        <v>6</v>
      </c>
      <c r="G24" s="167">
        <f t="shared" si="0"/>
        <v>31.23076923076923</v>
      </c>
      <c r="H24" s="618">
        <f t="shared" si="1"/>
        <v>0.46153846153846156</v>
      </c>
      <c r="I24" s="44">
        <v>10476998</v>
      </c>
      <c r="J24" s="624">
        <f t="shared" si="2"/>
        <v>338</v>
      </c>
      <c r="K24" s="624">
        <f t="shared" si="3"/>
        <v>190.125</v>
      </c>
      <c r="L24" s="623">
        <v>144</v>
      </c>
    </row>
    <row r="25" spans="1:12">
      <c r="A25" s="617" t="s">
        <v>446</v>
      </c>
      <c r="B25" s="44">
        <v>14</v>
      </c>
      <c r="C25" s="44">
        <v>386</v>
      </c>
      <c r="D25" s="44">
        <v>177</v>
      </c>
      <c r="E25" s="44">
        <v>12</v>
      </c>
      <c r="F25" s="44">
        <v>6</v>
      </c>
      <c r="G25" s="167">
        <f t="shared" si="0"/>
        <v>32.166666666666664</v>
      </c>
      <c r="H25" s="618">
        <f t="shared" si="1"/>
        <v>0.5</v>
      </c>
      <c r="I25" s="44">
        <v>10476998</v>
      </c>
      <c r="J25" s="624">
        <f t="shared" si="2"/>
        <v>312</v>
      </c>
      <c r="K25" s="624">
        <f t="shared" si="3"/>
        <v>190.125</v>
      </c>
      <c r="L25" s="623">
        <v>144</v>
      </c>
    </row>
    <row r="26" spans="1:12">
      <c r="A26" s="617" t="s">
        <v>446</v>
      </c>
      <c r="B26" s="44">
        <v>15</v>
      </c>
      <c r="C26" s="44">
        <v>340</v>
      </c>
      <c r="D26" s="44">
        <v>152</v>
      </c>
      <c r="E26" s="44">
        <v>10</v>
      </c>
      <c r="F26" s="44">
        <v>5</v>
      </c>
      <c r="G26" s="167">
        <f t="shared" si="0"/>
        <v>34</v>
      </c>
      <c r="H26" s="618">
        <f t="shared" si="1"/>
        <v>0.5</v>
      </c>
      <c r="I26" s="44">
        <v>10476998</v>
      </c>
      <c r="J26" s="624">
        <f t="shared" si="2"/>
        <v>260</v>
      </c>
      <c r="K26" s="624">
        <f t="shared" si="3"/>
        <v>190.125</v>
      </c>
      <c r="L26" s="623">
        <v>144</v>
      </c>
    </row>
    <row r="27" spans="1:12">
      <c r="A27" s="617" t="s">
        <v>446</v>
      </c>
      <c r="B27" s="44">
        <v>16</v>
      </c>
      <c r="C27" s="44">
        <v>224</v>
      </c>
      <c r="D27" s="44">
        <v>99</v>
      </c>
      <c r="E27" s="44">
        <v>7</v>
      </c>
      <c r="F27" s="44">
        <v>3</v>
      </c>
      <c r="G27" s="167">
        <f t="shared" si="0"/>
        <v>32</v>
      </c>
      <c r="H27" s="618">
        <f t="shared" si="1"/>
        <v>0.42857142857142855</v>
      </c>
      <c r="I27" s="44">
        <v>10476998</v>
      </c>
      <c r="J27" s="624">
        <f t="shared" si="2"/>
        <v>182</v>
      </c>
      <c r="K27" s="624">
        <f t="shared" si="3"/>
        <v>190.125</v>
      </c>
      <c r="L27" s="623">
        <v>144</v>
      </c>
    </row>
    <row r="28" spans="1:12">
      <c r="A28" s="617" t="s">
        <v>447</v>
      </c>
      <c r="B28" s="44">
        <v>1</v>
      </c>
      <c r="C28" s="44">
        <v>2553</v>
      </c>
      <c r="D28" s="44">
        <v>785</v>
      </c>
      <c r="E28" s="44">
        <v>68</v>
      </c>
      <c r="F28" s="44">
        <v>22</v>
      </c>
      <c r="G28" s="167">
        <f t="shared" si="0"/>
        <v>37.544117647058826</v>
      </c>
      <c r="H28" s="618">
        <f t="shared" si="1"/>
        <v>0.3235294117647059</v>
      </c>
      <c r="I28" s="44">
        <v>10476998</v>
      </c>
      <c r="J28" s="624">
        <f t="shared" si="2"/>
        <v>1768</v>
      </c>
      <c r="K28" s="624">
        <f t="shared" si="3"/>
        <v>1210.8571428571429</v>
      </c>
      <c r="L28" s="623">
        <v>200</v>
      </c>
    </row>
    <row r="29" spans="1:12">
      <c r="A29" s="617" t="s">
        <v>447</v>
      </c>
      <c r="B29" s="44">
        <v>2</v>
      </c>
      <c r="C29" s="44">
        <v>934</v>
      </c>
      <c r="D29" s="44">
        <v>191</v>
      </c>
      <c r="E29" s="44">
        <v>41</v>
      </c>
      <c r="F29" s="44">
        <v>9</v>
      </c>
      <c r="G29" s="167">
        <f t="shared" si="0"/>
        <v>22.780487804878049</v>
      </c>
      <c r="H29" s="618">
        <f t="shared" si="1"/>
        <v>0.21951219512195122</v>
      </c>
      <c r="I29" s="44">
        <v>10476998</v>
      </c>
      <c r="J29" s="624">
        <f t="shared" si="2"/>
        <v>1066</v>
      </c>
      <c r="K29" s="624">
        <f t="shared" si="3"/>
        <v>1210.8571428571429</v>
      </c>
      <c r="L29" s="623">
        <v>200</v>
      </c>
    </row>
    <row r="30" spans="1:12">
      <c r="A30" s="617" t="s">
        <v>447</v>
      </c>
      <c r="B30" s="44">
        <v>3</v>
      </c>
      <c r="C30" s="44">
        <v>1081</v>
      </c>
      <c r="D30" s="44">
        <v>162</v>
      </c>
      <c r="E30" s="44">
        <v>47</v>
      </c>
      <c r="F30" s="44">
        <v>7</v>
      </c>
      <c r="G30" s="167">
        <f t="shared" si="0"/>
        <v>23</v>
      </c>
      <c r="H30" s="618">
        <f t="shared" si="1"/>
        <v>0.14893617021276595</v>
      </c>
      <c r="I30" s="44">
        <v>10476998</v>
      </c>
      <c r="J30" s="624">
        <f t="shared" si="2"/>
        <v>1222</v>
      </c>
      <c r="K30" s="624">
        <f t="shared" si="3"/>
        <v>1210.8571428571429</v>
      </c>
      <c r="L30" s="623">
        <v>200</v>
      </c>
    </row>
    <row r="31" spans="1:12">
      <c r="A31" s="617" t="s">
        <v>447</v>
      </c>
      <c r="B31" s="44">
        <v>4</v>
      </c>
      <c r="C31" s="44">
        <v>777</v>
      </c>
      <c r="D31" s="44">
        <v>249</v>
      </c>
      <c r="E31" s="44">
        <v>34</v>
      </c>
      <c r="F31" s="44">
        <v>11</v>
      </c>
      <c r="G31" s="167">
        <f t="shared" si="0"/>
        <v>22.852941176470587</v>
      </c>
      <c r="H31" s="618">
        <f t="shared" si="1"/>
        <v>0.3235294117647059</v>
      </c>
      <c r="I31" s="44">
        <v>10476998</v>
      </c>
      <c r="J31" s="624">
        <f t="shared" si="2"/>
        <v>884</v>
      </c>
      <c r="K31" s="624">
        <f t="shared" si="3"/>
        <v>1210.8571428571429</v>
      </c>
      <c r="L31" s="623">
        <v>200</v>
      </c>
    </row>
    <row r="32" spans="1:12">
      <c r="A32" s="617" t="s">
        <v>447</v>
      </c>
      <c r="B32" s="44">
        <v>5</v>
      </c>
      <c r="C32" s="44">
        <v>1085</v>
      </c>
      <c r="D32" s="44">
        <v>345</v>
      </c>
      <c r="E32" s="44">
        <v>46</v>
      </c>
      <c r="F32" s="44">
        <v>15</v>
      </c>
      <c r="G32" s="167">
        <f t="shared" si="0"/>
        <v>23.586956521739129</v>
      </c>
      <c r="H32" s="618">
        <f t="shared" si="1"/>
        <v>0.32608695652173914</v>
      </c>
      <c r="I32" s="44">
        <v>10476997</v>
      </c>
      <c r="J32" s="624">
        <f t="shared" si="2"/>
        <v>1196</v>
      </c>
      <c r="K32" s="624">
        <f t="shared" si="3"/>
        <v>1210.8571428571429</v>
      </c>
      <c r="L32" s="623">
        <v>200</v>
      </c>
    </row>
    <row r="33" spans="1:18">
      <c r="A33" s="617" t="s">
        <v>447</v>
      </c>
      <c r="B33" s="44">
        <v>6</v>
      </c>
      <c r="C33" s="44">
        <v>1161</v>
      </c>
      <c r="D33" s="44">
        <v>404</v>
      </c>
      <c r="E33" s="44">
        <v>50</v>
      </c>
      <c r="F33" s="44">
        <v>18</v>
      </c>
      <c r="G33" s="167">
        <f t="shared" si="0"/>
        <v>23.22</v>
      </c>
      <c r="H33" s="618">
        <f t="shared" si="1"/>
        <v>0.36</v>
      </c>
      <c r="I33" s="44">
        <v>10476997</v>
      </c>
      <c r="J33" s="624">
        <f t="shared" si="2"/>
        <v>1300</v>
      </c>
      <c r="K33" s="624">
        <f t="shared" si="3"/>
        <v>1210.8571428571429</v>
      </c>
      <c r="L33" s="623">
        <v>200</v>
      </c>
    </row>
    <row r="34" spans="1:18">
      <c r="A34" s="617" t="s">
        <v>447</v>
      </c>
      <c r="B34" s="44">
        <v>7</v>
      </c>
      <c r="C34" s="44">
        <v>913</v>
      </c>
      <c r="D34" s="44">
        <v>229</v>
      </c>
      <c r="E34" s="44">
        <v>40</v>
      </c>
      <c r="F34" s="44">
        <v>10</v>
      </c>
      <c r="G34" s="167">
        <f t="shared" si="0"/>
        <v>22.824999999999999</v>
      </c>
      <c r="H34" s="618">
        <f t="shared" si="1"/>
        <v>0.25</v>
      </c>
      <c r="I34" s="44">
        <v>10476997</v>
      </c>
      <c r="J34" s="624">
        <f t="shared" si="2"/>
        <v>1040</v>
      </c>
      <c r="K34" s="624">
        <f t="shared" si="3"/>
        <v>1210.8571428571429</v>
      </c>
      <c r="L34" s="623">
        <v>200</v>
      </c>
    </row>
    <row r="35" spans="1:18">
      <c r="A35" s="617" t="s">
        <v>448</v>
      </c>
      <c r="B35" s="44">
        <v>1</v>
      </c>
      <c r="C35" s="44">
        <v>632</v>
      </c>
      <c r="D35" s="44">
        <v>149</v>
      </c>
      <c r="E35" s="44">
        <v>12</v>
      </c>
      <c r="F35" s="44">
        <v>3</v>
      </c>
      <c r="G35" s="167">
        <f t="shared" si="0"/>
        <v>52.666666666666664</v>
      </c>
      <c r="H35" s="618">
        <f t="shared" si="1"/>
        <v>0.25</v>
      </c>
      <c r="I35" s="44">
        <v>10476996</v>
      </c>
      <c r="J35" s="624">
        <f t="shared" si="2"/>
        <v>312</v>
      </c>
      <c r="K35" s="624">
        <f t="shared" si="3"/>
        <v>312</v>
      </c>
      <c r="L35" s="623">
        <v>6</v>
      </c>
    </row>
    <row r="36" spans="1:18">
      <c r="A36" s="44" t="s">
        <v>449</v>
      </c>
      <c r="B36" s="44">
        <v>1</v>
      </c>
      <c r="C36" s="44">
        <v>1015</v>
      </c>
      <c r="D36" s="44">
        <v>266</v>
      </c>
      <c r="E36" s="44">
        <v>31</v>
      </c>
      <c r="F36" s="44">
        <v>8</v>
      </c>
      <c r="G36" s="167">
        <f t="shared" si="0"/>
        <v>32.741935483870968</v>
      </c>
      <c r="H36" s="618">
        <f t="shared" si="1"/>
        <v>0.25806451612903225</v>
      </c>
      <c r="I36" s="44">
        <v>10476999</v>
      </c>
      <c r="J36" s="624">
        <f t="shared" si="2"/>
        <v>806</v>
      </c>
      <c r="K36" s="624">
        <f t="shared" si="3"/>
        <v>728</v>
      </c>
      <c r="L36" s="623">
        <v>155</v>
      </c>
    </row>
    <row r="37" spans="1:18">
      <c r="A37" s="44" t="s">
        <v>449</v>
      </c>
      <c r="B37" s="44">
        <v>2</v>
      </c>
      <c r="C37" s="44">
        <v>1092</v>
      </c>
      <c r="D37" s="44">
        <v>242</v>
      </c>
      <c r="E37" s="44">
        <v>33</v>
      </c>
      <c r="F37" s="44">
        <v>8</v>
      </c>
      <c r="G37" s="167">
        <f t="shared" si="0"/>
        <v>33.090909090909093</v>
      </c>
      <c r="H37" s="618">
        <f t="shared" si="1"/>
        <v>0.24242424242424243</v>
      </c>
      <c r="I37" s="44">
        <v>10476999</v>
      </c>
      <c r="J37" s="624">
        <f t="shared" si="2"/>
        <v>858</v>
      </c>
      <c r="K37" s="624">
        <f t="shared" si="3"/>
        <v>728</v>
      </c>
      <c r="L37" s="623">
        <v>155</v>
      </c>
    </row>
    <row r="38" spans="1:18">
      <c r="A38" s="44" t="s">
        <v>449</v>
      </c>
      <c r="B38" s="44">
        <v>3</v>
      </c>
      <c r="C38" s="44">
        <v>420</v>
      </c>
      <c r="D38" s="44">
        <v>151</v>
      </c>
      <c r="E38" s="44">
        <v>17</v>
      </c>
      <c r="F38" s="44">
        <v>7</v>
      </c>
      <c r="G38" s="167">
        <f t="shared" si="0"/>
        <v>24.705882352941178</v>
      </c>
      <c r="H38" s="618">
        <f t="shared" si="1"/>
        <v>0.41176470588235292</v>
      </c>
      <c r="I38" s="44">
        <v>10476999</v>
      </c>
      <c r="J38" s="624">
        <f t="shared" si="2"/>
        <v>442</v>
      </c>
      <c r="K38" s="624">
        <f t="shared" si="3"/>
        <v>728</v>
      </c>
      <c r="L38" s="623">
        <v>155</v>
      </c>
    </row>
    <row r="39" spans="1:18">
      <c r="A39" s="44" t="s">
        <v>449</v>
      </c>
      <c r="B39" s="44">
        <v>4</v>
      </c>
      <c r="C39" s="44">
        <v>808</v>
      </c>
      <c r="D39" s="44">
        <v>331</v>
      </c>
      <c r="E39" s="44">
        <v>31</v>
      </c>
      <c r="F39" s="44">
        <v>14</v>
      </c>
      <c r="G39" s="167">
        <f t="shared" si="0"/>
        <v>26.06451612903226</v>
      </c>
      <c r="H39" s="618">
        <f t="shared" si="1"/>
        <v>0.45161290322580644</v>
      </c>
      <c r="I39" s="44">
        <v>10476992</v>
      </c>
      <c r="J39" s="624">
        <f t="shared" si="2"/>
        <v>806</v>
      </c>
      <c r="K39" s="624">
        <f t="shared" si="3"/>
        <v>728</v>
      </c>
      <c r="L39" s="623">
        <v>155</v>
      </c>
    </row>
    <row r="40" spans="1:18">
      <c r="A40" s="44" t="s">
        <v>449</v>
      </c>
      <c r="B40" s="44">
        <v>5</v>
      </c>
      <c r="C40" s="44">
        <v>726</v>
      </c>
      <c r="D40" s="44">
        <v>330</v>
      </c>
      <c r="E40" s="44">
        <v>28</v>
      </c>
      <c r="F40" s="44">
        <v>14</v>
      </c>
      <c r="G40" s="167">
        <f t="shared" si="0"/>
        <v>25.928571428571427</v>
      </c>
      <c r="H40" s="618">
        <f t="shared" si="1"/>
        <v>0.5</v>
      </c>
      <c r="I40" s="44">
        <v>10476992</v>
      </c>
      <c r="J40" s="624">
        <f t="shared" si="2"/>
        <v>728</v>
      </c>
      <c r="K40" s="624">
        <f t="shared" si="3"/>
        <v>728</v>
      </c>
      <c r="L40" s="623">
        <v>155</v>
      </c>
    </row>
    <row r="41" spans="1:18">
      <c r="A41" s="44" t="s">
        <v>449</v>
      </c>
      <c r="B41" s="44">
        <v>6</v>
      </c>
      <c r="C41" s="44">
        <v>723</v>
      </c>
      <c r="D41" s="44">
        <v>315</v>
      </c>
      <c r="E41" s="44">
        <v>28</v>
      </c>
      <c r="F41" s="44">
        <v>13</v>
      </c>
      <c r="G41" s="167">
        <f t="shared" si="0"/>
        <v>25.821428571428573</v>
      </c>
      <c r="H41" s="618">
        <f t="shared" si="1"/>
        <v>0.4642857142857143</v>
      </c>
      <c r="I41" s="44">
        <v>10476992</v>
      </c>
      <c r="J41" s="624">
        <f t="shared" si="2"/>
        <v>728</v>
      </c>
      <c r="K41" s="624">
        <f t="shared" si="3"/>
        <v>728</v>
      </c>
      <c r="L41" s="623">
        <v>155</v>
      </c>
    </row>
    <row r="42" spans="1:18">
      <c r="A42" s="619" t="s">
        <v>1</v>
      </c>
      <c r="B42" s="619">
        <f>SUM(B2:B41)</f>
        <v>220</v>
      </c>
      <c r="C42" s="619">
        <f t="shared" ref="C42:F42" si="4">SUM(C2:C41)</f>
        <v>25059</v>
      </c>
      <c r="D42" s="619">
        <f t="shared" si="4"/>
        <v>8720</v>
      </c>
      <c r="E42" s="619">
        <f t="shared" si="4"/>
        <v>841</v>
      </c>
      <c r="F42" s="619">
        <f t="shared" si="4"/>
        <v>309</v>
      </c>
      <c r="G42" s="620">
        <f t="shared" si="0"/>
        <v>29.79667063020214</v>
      </c>
      <c r="H42" s="621">
        <f t="shared" si="1"/>
        <v>0.36741973840665876</v>
      </c>
      <c r="I42" s="619" t="s">
        <v>450</v>
      </c>
      <c r="J42" s="625">
        <f>SUM(J2:J41)/SUM(P44:P49)</f>
        <v>546.65</v>
      </c>
      <c r="K42" s="625" t="e">
        <f t="shared" si="3"/>
        <v>#N/A</v>
      </c>
    </row>
    <row r="43" spans="1:18">
      <c r="H43" s="626">
        <f>H42*295/1095</f>
        <v>9.8985226328734563E-2</v>
      </c>
    </row>
    <row r="44" spans="1:18">
      <c r="O44" t="s">
        <v>444</v>
      </c>
      <c r="P44">
        <v>3</v>
      </c>
      <c r="Q44" s="623">
        <v>12</v>
      </c>
      <c r="R44">
        <f>2.42*Q44*52/P44</f>
        <v>503.35999999999996</v>
      </c>
    </row>
    <row r="45" spans="1:18">
      <c r="O45" t="s">
        <v>445</v>
      </c>
      <c r="P45">
        <v>7</v>
      </c>
      <c r="Q45" s="623">
        <v>84</v>
      </c>
      <c r="R45">
        <f t="shared" ref="R45:R49" si="5">2.42*Q45*52/P45</f>
        <v>1510.08</v>
      </c>
    </row>
    <row r="46" spans="1:18">
      <c r="O46" t="s">
        <v>446</v>
      </c>
      <c r="P46">
        <v>16</v>
      </c>
      <c r="Q46" s="623">
        <v>144</v>
      </c>
      <c r="R46">
        <f t="shared" si="5"/>
        <v>1132.56</v>
      </c>
    </row>
    <row r="47" spans="1:18">
      <c r="O47" t="s">
        <v>447</v>
      </c>
      <c r="P47">
        <v>7</v>
      </c>
      <c r="Q47" s="623">
        <v>200</v>
      </c>
      <c r="R47">
        <f t="shared" si="5"/>
        <v>3595.4285714285716</v>
      </c>
    </row>
    <row r="48" spans="1:18">
      <c r="O48" t="s">
        <v>448</v>
      </c>
      <c r="P48">
        <v>1</v>
      </c>
      <c r="Q48" s="623">
        <v>6</v>
      </c>
      <c r="R48">
        <f t="shared" si="5"/>
        <v>755.04</v>
      </c>
    </row>
    <row r="49" spans="15:18">
      <c r="O49" t="s">
        <v>449</v>
      </c>
      <c r="P49">
        <v>6</v>
      </c>
      <c r="Q49" s="623">
        <v>155</v>
      </c>
      <c r="R49">
        <f t="shared" si="5"/>
        <v>3250.8666666666663</v>
      </c>
    </row>
    <row r="50" spans="15:18">
      <c r="R50">
        <f>2.42*SUM(Q44:Q49)*52/SUM(P44:P49)</f>
        <v>1890.7459999999999</v>
      </c>
    </row>
  </sheetData>
  <autoFilter ref="A1:I42"/>
  <pageMargins left="0.7" right="0.7" top="0.75" bottom="0.75" header="0.3" footer="0.3"/>
  <pageSetup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B2:AU72"/>
  <sheetViews>
    <sheetView topLeftCell="T19" zoomScale="140" zoomScaleNormal="140" workbookViewId="0">
      <selection activeCell="J52" sqref="J52"/>
    </sheetView>
  </sheetViews>
  <sheetFormatPr defaultRowHeight="14.4"/>
  <cols>
    <col min="2" max="2" width="19.5546875" customWidth="1"/>
    <col min="3" max="3" width="19.33203125" customWidth="1"/>
    <col min="4" max="4" width="9" customWidth="1"/>
    <col min="5" max="8" width="8.33203125" customWidth="1"/>
    <col min="9" max="9" width="13.6640625" customWidth="1"/>
    <col min="10" max="10" width="9.44140625" customWidth="1"/>
    <col min="11" max="11" width="13.6640625" customWidth="1"/>
    <col min="12" max="19" width="7.6640625" customWidth="1"/>
    <col min="21" max="21" width="13.5546875" customWidth="1"/>
    <col min="22" max="23" width="8.6640625" customWidth="1"/>
    <col min="24" max="26" width="10.44140625" customWidth="1"/>
    <col min="27" max="28" width="11.6640625" customWidth="1"/>
    <col min="31" max="31" width="5.33203125" style="45" bestFit="1" customWidth="1"/>
    <col min="32" max="32" width="7.6640625" style="45" bestFit="1" customWidth="1"/>
    <col min="46" max="46" width="5.33203125" bestFit="1" customWidth="1"/>
    <col min="47" max="47" width="7.6640625" bestFit="1" customWidth="1"/>
  </cols>
  <sheetData>
    <row r="2" spans="2:20" ht="31.2" customHeight="1">
      <c r="B2" s="499"/>
      <c r="C2" s="500"/>
      <c r="D2" s="873" t="s">
        <v>355</v>
      </c>
      <c r="E2" s="883" t="s">
        <v>353</v>
      </c>
      <c r="F2" s="884"/>
      <c r="G2" s="883" t="s">
        <v>354</v>
      </c>
      <c r="H2" s="884"/>
      <c r="I2" s="518" t="s">
        <v>357</v>
      </c>
      <c r="J2" s="518" t="s">
        <v>23</v>
      </c>
      <c r="K2" s="518"/>
      <c r="L2" s="885" t="s">
        <v>382</v>
      </c>
      <c r="M2" s="886"/>
      <c r="N2" s="886"/>
      <c r="O2" s="886"/>
      <c r="P2" s="886" t="s">
        <v>385</v>
      </c>
      <c r="Q2" s="886"/>
      <c r="R2" s="886"/>
      <c r="S2" s="886"/>
    </row>
    <row r="3" spans="2:20" ht="15" thickBot="1">
      <c r="B3" s="501" t="s">
        <v>363</v>
      </c>
      <c r="C3" s="502" t="s">
        <v>364</v>
      </c>
      <c r="D3" s="874"/>
      <c r="E3" s="517" t="s">
        <v>24</v>
      </c>
      <c r="F3" s="507" t="s">
        <v>25</v>
      </c>
      <c r="G3" s="517" t="s">
        <v>24</v>
      </c>
      <c r="H3" s="507" t="s">
        <v>25</v>
      </c>
      <c r="I3" s="519" t="s">
        <v>25</v>
      </c>
      <c r="J3" s="521" t="s">
        <v>25</v>
      </c>
      <c r="K3" s="521" t="s">
        <v>365</v>
      </c>
      <c r="L3" s="544" t="s">
        <v>383</v>
      </c>
      <c r="M3" s="544" t="s">
        <v>17</v>
      </c>
      <c r="N3" s="544" t="s">
        <v>384</v>
      </c>
      <c r="O3" s="544" t="s">
        <v>1</v>
      </c>
      <c r="P3" s="544" t="s">
        <v>383</v>
      </c>
      <c r="Q3" s="544" t="s">
        <v>17</v>
      </c>
      <c r="R3" s="544" t="s">
        <v>384</v>
      </c>
      <c r="S3" s="544" t="s">
        <v>1</v>
      </c>
    </row>
    <row r="4" spans="2:20" ht="15" thickBot="1">
      <c r="B4" s="503" t="s">
        <v>26</v>
      </c>
      <c r="C4" s="504" t="s">
        <v>361</v>
      </c>
      <c r="D4" s="516" t="s">
        <v>356</v>
      </c>
      <c r="E4" s="514">
        <v>0.03</v>
      </c>
      <c r="F4" s="515">
        <v>0.57999999999999996</v>
      </c>
      <c r="G4" s="514">
        <v>0.14000000000000001</v>
      </c>
      <c r="H4" s="515">
        <v>3.66</v>
      </c>
      <c r="I4" s="520">
        <v>0.21</v>
      </c>
      <c r="J4" s="523">
        <f>I4+H4+F4</f>
        <v>4.45</v>
      </c>
      <c r="K4" s="526" t="s">
        <v>369</v>
      </c>
      <c r="L4" s="47"/>
      <c r="M4" s="47"/>
      <c r="N4" s="47"/>
      <c r="O4" s="47"/>
      <c r="P4" s="498"/>
      <c r="Q4" s="498"/>
      <c r="R4" s="498"/>
      <c r="S4" s="498"/>
      <c r="T4" s="498"/>
    </row>
    <row r="5" spans="2:20">
      <c r="B5" s="503" t="s">
        <v>347</v>
      </c>
      <c r="C5" s="505" t="s">
        <v>361</v>
      </c>
      <c r="D5" s="516">
        <v>1.42</v>
      </c>
      <c r="E5" s="514">
        <v>0.03</v>
      </c>
      <c r="F5" s="515">
        <v>0.64</v>
      </c>
      <c r="G5" s="514">
        <v>0.1</v>
      </c>
      <c r="H5" s="515">
        <v>2.63</v>
      </c>
      <c r="I5" s="516">
        <v>0.23</v>
      </c>
      <c r="J5" s="522">
        <f>I5+H5+F5</f>
        <v>3.5</v>
      </c>
      <c r="K5" s="526" t="s">
        <v>369</v>
      </c>
      <c r="L5" s="45"/>
      <c r="M5" s="45"/>
      <c r="N5" s="45"/>
      <c r="O5" s="45"/>
    </row>
    <row r="6" spans="2:20">
      <c r="B6" s="506" t="s">
        <v>348</v>
      </c>
      <c r="C6" s="505" t="s">
        <v>361</v>
      </c>
      <c r="D6" s="516">
        <v>1.6</v>
      </c>
      <c r="E6" s="514">
        <v>0.01</v>
      </c>
      <c r="F6" s="515">
        <v>0.32</v>
      </c>
      <c r="G6" s="514">
        <v>0.08</v>
      </c>
      <c r="H6" s="515">
        <v>2.17</v>
      </c>
      <c r="I6" s="516">
        <v>0.16</v>
      </c>
      <c r="J6" s="516">
        <f>I6+H6+F6</f>
        <v>2.65</v>
      </c>
      <c r="K6" s="526" t="s">
        <v>369</v>
      </c>
      <c r="L6" s="45"/>
      <c r="M6" s="45"/>
      <c r="N6" s="45"/>
      <c r="O6" s="45"/>
    </row>
    <row r="7" spans="2:20">
      <c r="B7" s="503" t="s">
        <v>349</v>
      </c>
      <c r="C7" s="504" t="s">
        <v>362</v>
      </c>
      <c r="D7" s="516">
        <v>1.8</v>
      </c>
      <c r="E7" s="514" t="s">
        <v>350</v>
      </c>
      <c r="F7" s="515" t="s">
        <v>350</v>
      </c>
      <c r="G7" s="514" t="s">
        <v>350</v>
      </c>
      <c r="H7" s="515" t="s">
        <v>350</v>
      </c>
      <c r="I7" s="516" t="s">
        <v>350</v>
      </c>
      <c r="J7" s="516" t="s">
        <v>350</v>
      </c>
      <c r="K7" s="526" t="s">
        <v>369</v>
      </c>
      <c r="L7" s="45"/>
      <c r="M7" s="45"/>
      <c r="N7" s="45"/>
      <c r="O7" s="45"/>
    </row>
    <row r="8" spans="2:20">
      <c r="B8" s="881" t="s">
        <v>351</v>
      </c>
      <c r="C8" s="505" t="s">
        <v>361</v>
      </c>
      <c r="D8" s="512">
        <v>1.8</v>
      </c>
      <c r="E8" s="508">
        <v>0.02</v>
      </c>
      <c r="F8" s="509">
        <v>0.52</v>
      </c>
      <c r="G8" s="508">
        <v>0.09</v>
      </c>
      <c r="H8" s="509">
        <v>2.31</v>
      </c>
      <c r="I8" s="512">
        <v>0.15</v>
      </c>
      <c r="J8" s="512">
        <f t="shared" ref="J8:J12" si="0">I8+H8+F8</f>
        <v>2.98</v>
      </c>
      <c r="K8" s="526" t="s">
        <v>369</v>
      </c>
      <c r="L8" s="545">
        <f>(F8-F9)/F9</f>
        <v>-0.13333333333333328</v>
      </c>
      <c r="M8" s="545">
        <f>(H8-H9)/H9</f>
        <v>0.76335877862595414</v>
      </c>
      <c r="N8" s="545">
        <f>(I8-I9)/I9</f>
        <v>0.32743362831858397</v>
      </c>
      <c r="O8" s="545">
        <f>(J8-J9)/J9</f>
        <v>0.47305981216015808</v>
      </c>
    </row>
    <row r="9" spans="2:20">
      <c r="B9" s="882"/>
      <c r="C9" s="507" t="s">
        <v>359</v>
      </c>
      <c r="D9" s="513">
        <v>1.8</v>
      </c>
      <c r="E9" s="510"/>
      <c r="F9" s="511">
        <v>0.6</v>
      </c>
      <c r="G9" s="510"/>
      <c r="H9" s="511">
        <v>1.31</v>
      </c>
      <c r="I9" s="513">
        <v>0.113</v>
      </c>
      <c r="J9" s="513">
        <f t="shared" si="0"/>
        <v>2.0230000000000001</v>
      </c>
      <c r="K9" s="527" t="s">
        <v>366</v>
      </c>
      <c r="L9" s="45"/>
      <c r="M9" s="45"/>
      <c r="N9" s="45"/>
      <c r="O9" s="45"/>
    </row>
    <row r="10" spans="2:20">
      <c r="B10" s="881" t="s">
        <v>352</v>
      </c>
      <c r="C10" s="505" t="s">
        <v>361</v>
      </c>
      <c r="D10" s="512">
        <v>2.2000000000000002</v>
      </c>
      <c r="E10" s="508">
        <v>0.01</v>
      </c>
      <c r="F10" s="509">
        <v>0.31</v>
      </c>
      <c r="G10" s="508">
        <v>0.09</v>
      </c>
      <c r="H10" s="509">
        <v>2.38</v>
      </c>
      <c r="I10" s="512">
        <v>0.21</v>
      </c>
      <c r="J10" s="512">
        <f t="shared" si="0"/>
        <v>2.9</v>
      </c>
      <c r="K10" s="526" t="s">
        <v>369</v>
      </c>
      <c r="L10" s="545">
        <f>(F10-F11)/F11</f>
        <v>-0.13888888888888887</v>
      </c>
      <c r="M10" s="545">
        <f>(H10-H11)/H11</f>
        <v>0.77611940298507442</v>
      </c>
      <c r="N10" s="545">
        <f>(I10-I11)/I11</f>
        <v>0.36363636363636359</v>
      </c>
      <c r="O10" s="545">
        <f>(J10-J11)/J11</f>
        <v>0.56418554476806893</v>
      </c>
    </row>
    <row r="11" spans="2:20" ht="15" thickBot="1">
      <c r="B11" s="882"/>
      <c r="C11" s="507" t="s">
        <v>359</v>
      </c>
      <c r="D11" s="513">
        <v>2.2000000000000002</v>
      </c>
      <c r="E11" s="510"/>
      <c r="F11" s="511">
        <v>0.36</v>
      </c>
      <c r="G11" s="510"/>
      <c r="H11" s="511">
        <v>1.34</v>
      </c>
      <c r="I11" s="513">
        <v>0.154</v>
      </c>
      <c r="J11" s="524">
        <f t="shared" si="0"/>
        <v>1.8540000000000001</v>
      </c>
      <c r="K11" s="528" t="s">
        <v>367</v>
      </c>
    </row>
    <row r="12" spans="2:20" ht="15" thickBot="1">
      <c r="B12" s="503" t="s">
        <v>360</v>
      </c>
      <c r="C12" s="504" t="s">
        <v>358</v>
      </c>
      <c r="D12" s="516">
        <v>1.72</v>
      </c>
      <c r="E12" s="514"/>
      <c r="F12" s="515">
        <v>0.69</v>
      </c>
      <c r="G12" s="514"/>
      <c r="H12" s="515">
        <v>1.69</v>
      </c>
      <c r="I12" s="520">
        <v>0.22800000000000001</v>
      </c>
      <c r="J12" s="523">
        <f t="shared" si="0"/>
        <v>2.6079999999999997</v>
      </c>
      <c r="K12" s="525" t="s">
        <v>368</v>
      </c>
      <c r="P12" s="498">
        <f>F12*(1+L8)</f>
        <v>0.59799999999999998</v>
      </c>
      <c r="Q12" s="498">
        <f>H12*(1+M8)</f>
        <v>2.9800763358778624</v>
      </c>
      <c r="R12" s="498">
        <f>I12*(1+N8)</f>
        <v>0.30265486725663715</v>
      </c>
      <c r="S12" s="498">
        <f>P12+Q12+R12</f>
        <v>3.8807312031344994</v>
      </c>
    </row>
    <row r="13" spans="2:20">
      <c r="B13" s="529" t="s">
        <v>370</v>
      </c>
    </row>
    <row r="14" spans="2:20" ht="28.95" customHeight="1">
      <c r="B14" s="530" t="s">
        <v>371</v>
      </c>
      <c r="C14" s="887" t="s">
        <v>374</v>
      </c>
      <c r="D14" s="887"/>
      <c r="E14" s="887"/>
      <c r="F14" s="887"/>
      <c r="G14" s="887"/>
      <c r="H14" s="887"/>
      <c r="I14" s="887"/>
      <c r="J14" s="887"/>
      <c r="K14" s="887"/>
    </row>
    <row r="15" spans="2:20" ht="28.95" customHeight="1">
      <c r="B15" s="530" t="s">
        <v>372</v>
      </c>
      <c r="C15" s="887" t="s">
        <v>375</v>
      </c>
      <c r="D15" s="887"/>
      <c r="E15" s="887"/>
      <c r="F15" s="887"/>
      <c r="G15" s="887"/>
      <c r="H15" s="887"/>
      <c r="I15" s="887"/>
      <c r="J15" s="887"/>
      <c r="K15" s="887"/>
    </row>
    <row r="16" spans="2:20" ht="28.95" customHeight="1">
      <c r="B16" s="530" t="s">
        <v>373</v>
      </c>
      <c r="C16" s="887" t="s">
        <v>376</v>
      </c>
      <c r="D16" s="887"/>
      <c r="E16" s="887"/>
      <c r="F16" s="887"/>
      <c r="G16" s="887"/>
      <c r="H16" s="887"/>
      <c r="I16" s="887"/>
      <c r="J16" s="887"/>
      <c r="K16" s="887"/>
    </row>
    <row r="18" spans="21:28">
      <c r="U18" s="492" t="s">
        <v>332</v>
      </c>
      <c r="V18" s="493"/>
      <c r="W18" s="493"/>
      <c r="X18" s="493"/>
      <c r="Y18" s="493"/>
      <c r="Z18" s="494"/>
      <c r="AA18" s="553" t="s">
        <v>342</v>
      </c>
    </row>
    <row r="19" spans="21:28">
      <c r="U19" s="495"/>
      <c r="V19" s="496"/>
      <c r="W19" s="496"/>
      <c r="X19" s="496"/>
      <c r="Y19" s="496"/>
      <c r="Z19" s="497"/>
      <c r="AA19" s="554" t="s">
        <v>345</v>
      </c>
    </row>
    <row r="20" spans="21:28">
      <c r="U20" s="477" t="s">
        <v>333</v>
      </c>
      <c r="V20" s="478"/>
      <c r="W20" s="478"/>
      <c r="X20" s="478"/>
      <c r="Y20" s="478"/>
      <c r="Z20" s="479"/>
      <c r="AA20" s="491" t="s">
        <v>344</v>
      </c>
    </row>
    <row r="21" spans="21:28">
      <c r="U21" s="477" t="s">
        <v>334</v>
      </c>
      <c r="V21" s="478"/>
      <c r="W21" s="478"/>
      <c r="X21" s="478"/>
      <c r="Y21" s="478"/>
      <c r="Z21" s="479"/>
      <c r="AA21" s="491" t="s">
        <v>344</v>
      </c>
    </row>
    <row r="22" spans="21:28">
      <c r="U22" s="477" t="s">
        <v>335</v>
      </c>
      <c r="V22" s="478"/>
      <c r="W22" s="478"/>
      <c r="X22" s="478"/>
      <c r="Y22" s="478"/>
      <c r="Z22" s="479"/>
      <c r="AA22" s="491" t="s">
        <v>344</v>
      </c>
    </row>
    <row r="23" spans="21:28">
      <c r="U23" s="477" t="s">
        <v>336</v>
      </c>
      <c r="V23" s="478"/>
      <c r="W23" s="478"/>
      <c r="X23" s="478"/>
      <c r="Y23" s="478"/>
      <c r="Z23" s="479"/>
      <c r="AA23" s="491" t="s">
        <v>344</v>
      </c>
    </row>
    <row r="24" spans="21:28" ht="15" customHeight="1">
      <c r="U24" s="875" t="s">
        <v>343</v>
      </c>
      <c r="V24" s="480" t="s">
        <v>337</v>
      </c>
      <c r="W24" s="480"/>
      <c r="X24" s="480"/>
      <c r="Y24" s="480"/>
      <c r="Z24" s="481"/>
      <c r="AA24" s="488">
        <v>0.25</v>
      </c>
    </row>
    <row r="25" spans="21:28">
      <c r="U25" s="876"/>
      <c r="V25" s="483" t="s">
        <v>338</v>
      </c>
      <c r="W25" s="483"/>
      <c r="X25" s="483"/>
      <c r="Y25" s="483"/>
      <c r="Z25" s="484"/>
      <c r="AA25" s="489">
        <v>0.25</v>
      </c>
    </row>
    <row r="26" spans="21:28">
      <c r="U26" s="876"/>
      <c r="V26" s="878" t="s">
        <v>339</v>
      </c>
      <c r="W26" s="878"/>
      <c r="X26" s="482" t="s">
        <v>341</v>
      </c>
      <c r="Y26" s="483"/>
      <c r="Z26" s="484"/>
      <c r="AA26" s="489">
        <v>0</v>
      </c>
    </row>
    <row r="27" spans="21:28">
      <c r="U27" s="877"/>
      <c r="V27" s="878"/>
      <c r="W27" s="878"/>
      <c r="X27" s="485" t="s">
        <v>340</v>
      </c>
      <c r="Y27" s="486"/>
      <c r="Z27" s="487"/>
      <c r="AA27" s="490">
        <v>0.5</v>
      </c>
    </row>
    <row r="28" spans="21:28">
      <c r="U28" s="477" t="s">
        <v>346</v>
      </c>
      <c r="V28" s="478"/>
      <c r="W28" s="478"/>
      <c r="X28" s="478"/>
      <c r="Y28" s="478"/>
      <c r="Z28" s="479"/>
      <c r="AA28" s="491" t="s">
        <v>344</v>
      </c>
    </row>
    <row r="31" spans="21:28">
      <c r="U31" s="867" t="s">
        <v>332</v>
      </c>
      <c r="V31" s="868"/>
      <c r="W31" s="868"/>
      <c r="X31" s="868"/>
      <c r="Y31" s="868"/>
      <c r="Z31" s="869"/>
      <c r="AA31" s="873" t="s">
        <v>377</v>
      </c>
      <c r="AB31" s="873" t="s">
        <v>482</v>
      </c>
    </row>
    <row r="32" spans="21:28">
      <c r="U32" s="870"/>
      <c r="V32" s="871"/>
      <c r="W32" s="871"/>
      <c r="X32" s="871"/>
      <c r="Y32" s="871"/>
      <c r="Z32" s="872"/>
      <c r="AA32" s="874"/>
      <c r="AB32" s="874"/>
    </row>
    <row r="33" spans="21:47">
      <c r="U33" s="477" t="s">
        <v>333</v>
      </c>
      <c r="V33" s="478"/>
      <c r="W33" s="478"/>
      <c r="X33" s="478"/>
      <c r="Y33" s="478"/>
      <c r="Z33" s="479"/>
      <c r="AA33" s="531">
        <v>0</v>
      </c>
      <c r="AB33" s="531">
        <v>0</v>
      </c>
    </row>
    <row r="34" spans="21:47">
      <c r="U34" s="477" t="s">
        <v>334</v>
      </c>
      <c r="V34" s="478"/>
      <c r="W34" s="478"/>
      <c r="X34" s="478"/>
      <c r="Y34" s="478"/>
      <c r="Z34" s="479"/>
      <c r="AA34" s="531">
        <v>0</v>
      </c>
      <c r="AB34" s="531">
        <v>0</v>
      </c>
    </row>
    <row r="35" spans="21:47">
      <c r="U35" s="477" t="s">
        <v>335</v>
      </c>
      <c r="V35" s="478"/>
      <c r="W35" s="478"/>
      <c r="X35" s="478"/>
      <c r="Y35" s="478"/>
      <c r="Z35" s="479"/>
      <c r="AA35" s="531">
        <v>0</v>
      </c>
      <c r="AB35" s="531">
        <v>0.2</v>
      </c>
    </row>
    <row r="36" spans="21:47">
      <c r="U36" s="477" t="s">
        <v>336</v>
      </c>
      <c r="V36" s="478"/>
      <c r="W36" s="478"/>
      <c r="X36" s="478"/>
      <c r="Y36" s="478"/>
      <c r="Z36" s="479"/>
      <c r="AA36" s="531">
        <v>0</v>
      </c>
      <c r="AB36" s="531">
        <v>0.1</v>
      </c>
    </row>
    <row r="37" spans="21:47">
      <c r="U37" s="875" t="s">
        <v>343</v>
      </c>
      <c r="V37" s="480" t="s">
        <v>337</v>
      </c>
      <c r="W37" s="480"/>
      <c r="X37" s="480"/>
      <c r="Y37" s="480"/>
      <c r="Z37" s="481"/>
      <c r="AA37" s="533">
        <v>0.25</v>
      </c>
      <c r="AB37" s="533">
        <v>0.17</v>
      </c>
    </row>
    <row r="38" spans="21:47">
      <c r="U38" s="876"/>
      <c r="V38" s="483" t="s">
        <v>338</v>
      </c>
      <c r="W38" s="483"/>
      <c r="X38" s="483"/>
      <c r="Y38" s="483"/>
      <c r="Z38" s="484"/>
      <c r="AA38" s="534">
        <v>0.25</v>
      </c>
      <c r="AB38" s="534">
        <v>0.25</v>
      </c>
    </row>
    <row r="39" spans="21:47">
      <c r="U39" s="876"/>
      <c r="V39" s="878" t="s">
        <v>339</v>
      </c>
      <c r="W39" s="878"/>
      <c r="X39" s="482" t="s">
        <v>341</v>
      </c>
      <c r="Y39" s="483"/>
      <c r="Z39" s="484"/>
      <c r="AA39" s="534">
        <v>0</v>
      </c>
      <c r="AB39" s="534">
        <v>0.04</v>
      </c>
    </row>
    <row r="40" spans="21:47">
      <c r="U40" s="877"/>
      <c r="V40" s="878"/>
      <c r="W40" s="878"/>
      <c r="X40" s="485" t="s">
        <v>340</v>
      </c>
      <c r="Y40" s="486"/>
      <c r="Z40" s="487"/>
      <c r="AA40" s="535">
        <v>0.5</v>
      </c>
      <c r="AB40" s="535">
        <v>4.1666666666666664E-2</v>
      </c>
    </row>
    <row r="41" spans="21:47">
      <c r="U41" s="477" t="s">
        <v>346</v>
      </c>
      <c r="V41" s="478"/>
      <c r="W41" s="478"/>
      <c r="X41" s="478"/>
      <c r="Y41" s="478"/>
      <c r="Z41" s="479"/>
      <c r="AA41" s="532">
        <v>0</v>
      </c>
      <c r="AB41" s="532">
        <v>0.2</v>
      </c>
    </row>
    <row r="43" spans="21:47">
      <c r="AE43" s="543" t="s">
        <v>381</v>
      </c>
      <c r="AT43" s="543" t="s">
        <v>470</v>
      </c>
    </row>
    <row r="45" spans="21:47">
      <c r="AE45" s="503" t="s">
        <v>378</v>
      </c>
      <c r="AF45" s="504" t="s">
        <v>379</v>
      </c>
      <c r="AT45" s="503" t="s">
        <v>378</v>
      </c>
      <c r="AU45" s="504" t="s">
        <v>379</v>
      </c>
    </row>
    <row r="46" spans="21:47">
      <c r="AE46" s="537">
        <v>1</v>
      </c>
      <c r="AF46" s="538">
        <v>9.3457939999999993E-3</v>
      </c>
      <c r="AT46" s="537">
        <v>1</v>
      </c>
      <c r="AU46" s="538">
        <v>3.4410248540092747E-3</v>
      </c>
    </row>
    <row r="47" spans="21:47">
      <c r="AE47" s="539">
        <f>AE46+1</f>
        <v>2</v>
      </c>
      <c r="AF47" s="540">
        <v>7.476636E-3</v>
      </c>
      <c r="AT47" s="539">
        <f>AT46+1</f>
        <v>2</v>
      </c>
      <c r="AU47" s="540">
        <v>3.9757616333060859E-3</v>
      </c>
    </row>
    <row r="48" spans="21:47">
      <c r="AE48" s="539">
        <f t="shared" ref="AE48:AE69" si="1">AE47+1</f>
        <v>3</v>
      </c>
      <c r="AF48" s="540">
        <v>3.738318E-3</v>
      </c>
      <c r="AT48" s="539">
        <f t="shared" ref="AT48:AT69" si="2">AT47+1</f>
        <v>3</v>
      </c>
      <c r="AU48" s="540">
        <v>1.6345500133115325E-3</v>
      </c>
    </row>
    <row r="49" spans="31:47">
      <c r="AE49" s="539">
        <f t="shared" si="1"/>
        <v>4</v>
      </c>
      <c r="AF49" s="540">
        <v>3.738318E-3</v>
      </c>
      <c r="AT49" s="539">
        <f t="shared" si="2"/>
        <v>4</v>
      </c>
      <c r="AU49" s="540">
        <v>4.0758825621957017E-3</v>
      </c>
    </row>
    <row r="50" spans="31:47">
      <c r="AE50" s="539">
        <f t="shared" si="1"/>
        <v>5</v>
      </c>
      <c r="AF50" s="540">
        <v>7.476636E-3</v>
      </c>
      <c r="AT50" s="539">
        <f t="shared" si="2"/>
        <v>5</v>
      </c>
      <c r="AU50" s="540">
        <v>4.7977140065892715E-3</v>
      </c>
    </row>
    <row r="51" spans="31:47">
      <c r="AE51" s="539">
        <f t="shared" si="1"/>
        <v>6</v>
      </c>
      <c r="AF51" s="540">
        <v>1.1214953E-2</v>
      </c>
      <c r="AT51" s="539">
        <f t="shared" si="2"/>
        <v>6</v>
      </c>
      <c r="AU51" s="540">
        <v>1.1243378049801061E-2</v>
      </c>
    </row>
    <row r="52" spans="31:47">
      <c r="AE52" s="539">
        <f t="shared" si="1"/>
        <v>7</v>
      </c>
      <c r="AF52" s="540">
        <v>2.2429906999999999E-2</v>
      </c>
      <c r="AT52" s="539">
        <f t="shared" si="2"/>
        <v>7</v>
      </c>
      <c r="AU52" s="540">
        <v>2.3085964689168754E-2</v>
      </c>
    </row>
    <row r="53" spans="31:47">
      <c r="AE53" s="539">
        <f t="shared" si="1"/>
        <v>8</v>
      </c>
      <c r="AF53" s="540">
        <v>4.8598131000000003E-2</v>
      </c>
      <c r="AT53" s="539">
        <f t="shared" si="2"/>
        <v>8</v>
      </c>
      <c r="AU53" s="540">
        <v>3.7388593343930306E-2</v>
      </c>
    </row>
    <row r="54" spans="31:47">
      <c r="AE54" s="539">
        <f t="shared" si="1"/>
        <v>9</v>
      </c>
      <c r="AF54" s="540">
        <v>7.2897195999999997E-2</v>
      </c>
      <c r="AT54" s="539">
        <f t="shared" si="2"/>
        <v>9</v>
      </c>
      <c r="AU54" s="540">
        <v>5.0844239393186261E-2</v>
      </c>
    </row>
    <row r="55" spans="31:47">
      <c r="AE55" s="539">
        <f t="shared" si="1"/>
        <v>10</v>
      </c>
      <c r="AF55" s="540">
        <v>8.5981308000000006E-2</v>
      </c>
      <c r="AT55" s="539">
        <f t="shared" si="2"/>
        <v>10</v>
      </c>
      <c r="AU55" s="540">
        <v>5.6409041526672234E-2</v>
      </c>
    </row>
    <row r="56" spans="31:47">
      <c r="AE56" s="539">
        <f t="shared" si="1"/>
        <v>11</v>
      </c>
      <c r="AF56" s="540">
        <v>8.4112149999999997E-2</v>
      </c>
      <c r="AT56" s="539">
        <f t="shared" si="2"/>
        <v>11</v>
      </c>
      <c r="AU56" s="540">
        <v>5.6473513336942067E-2</v>
      </c>
    </row>
    <row r="57" spans="31:47">
      <c r="AE57" s="539">
        <f t="shared" si="1"/>
        <v>12</v>
      </c>
      <c r="AF57" s="540">
        <v>7.4766355000000007E-2</v>
      </c>
      <c r="AT57" s="539">
        <f t="shared" si="2"/>
        <v>12</v>
      </c>
      <c r="AU57" s="540">
        <v>6.4589376512085184E-2</v>
      </c>
    </row>
    <row r="58" spans="31:47">
      <c r="AE58" s="539">
        <f t="shared" si="1"/>
        <v>13</v>
      </c>
      <c r="AF58" s="540">
        <v>6.7289719999999997E-2</v>
      </c>
      <c r="AT58" s="539">
        <f t="shared" si="2"/>
        <v>13</v>
      </c>
      <c r="AU58" s="540">
        <v>6.2038315470428054E-2</v>
      </c>
    </row>
    <row r="59" spans="31:47">
      <c r="AE59" s="539">
        <f t="shared" si="1"/>
        <v>14</v>
      </c>
      <c r="AF59" s="540">
        <v>5.9813084000000002E-2</v>
      </c>
      <c r="AT59" s="539">
        <f t="shared" si="2"/>
        <v>14</v>
      </c>
      <c r="AU59" s="540">
        <v>6.400533776022907E-2</v>
      </c>
    </row>
    <row r="60" spans="31:47">
      <c r="AE60" s="539">
        <f t="shared" si="1"/>
        <v>15</v>
      </c>
      <c r="AF60" s="540">
        <v>5.2336449E-2</v>
      </c>
      <c r="AT60" s="539">
        <f t="shared" si="2"/>
        <v>15</v>
      </c>
      <c r="AU60" s="540">
        <v>6.0621199797634362E-2</v>
      </c>
    </row>
    <row r="61" spans="31:47">
      <c r="AE61" s="539">
        <f t="shared" si="1"/>
        <v>16</v>
      </c>
      <c r="AF61" s="540">
        <v>4.8598131000000003E-2</v>
      </c>
      <c r="AT61" s="539">
        <f t="shared" si="2"/>
        <v>16</v>
      </c>
      <c r="AU61" s="540">
        <v>5.7237061835039633E-2</v>
      </c>
    </row>
    <row r="62" spans="31:47">
      <c r="AE62" s="539">
        <f t="shared" si="1"/>
        <v>17</v>
      </c>
      <c r="AF62" s="540">
        <v>5.0467289999999998E-2</v>
      </c>
      <c r="AT62" s="539">
        <f t="shared" si="2"/>
        <v>17</v>
      </c>
      <c r="AU62" s="540">
        <v>6.4880131734870672E-2</v>
      </c>
    </row>
    <row r="63" spans="31:47">
      <c r="AE63" s="539">
        <f t="shared" si="1"/>
        <v>18</v>
      </c>
      <c r="AF63" s="540">
        <v>4.8598131000000003E-2</v>
      </c>
      <c r="AT63" s="539">
        <f t="shared" si="2"/>
        <v>18</v>
      </c>
      <c r="AU63" s="540">
        <v>7.7300436360381738E-2</v>
      </c>
    </row>
    <row r="64" spans="31:47">
      <c r="AE64" s="539">
        <f t="shared" si="1"/>
        <v>19</v>
      </c>
      <c r="AF64" s="540">
        <v>4.8598131000000003E-2</v>
      </c>
      <c r="AT64" s="539">
        <f t="shared" si="2"/>
        <v>19</v>
      </c>
      <c r="AU64" s="540">
        <v>7.4966809659242462E-2</v>
      </c>
    </row>
    <row r="65" spans="31:47">
      <c r="AE65" s="539">
        <f t="shared" si="1"/>
        <v>20</v>
      </c>
      <c r="AF65" s="540">
        <v>4.8598131000000003E-2</v>
      </c>
      <c r="AT65" s="539">
        <f t="shared" si="2"/>
        <v>20</v>
      </c>
      <c r="AU65" s="540">
        <v>7.0876010089964719E-2</v>
      </c>
    </row>
    <row r="66" spans="31:47">
      <c r="AE66" s="539">
        <f t="shared" si="1"/>
        <v>21</v>
      </c>
      <c r="AF66" s="540">
        <v>4.8598131000000003E-2</v>
      </c>
      <c r="AT66" s="539">
        <f t="shared" si="2"/>
        <v>21</v>
      </c>
      <c r="AU66" s="540">
        <v>5.212356237344247E-2</v>
      </c>
    </row>
    <row r="67" spans="31:47">
      <c r="AE67" s="539">
        <f t="shared" si="1"/>
        <v>22</v>
      </c>
      <c r="AF67" s="540">
        <v>4.6728972000000001E-2</v>
      </c>
      <c r="AT67" s="539">
        <f t="shared" si="2"/>
        <v>22</v>
      </c>
      <c r="AU67" s="540">
        <v>4.5390682736244296E-2</v>
      </c>
    </row>
    <row r="68" spans="31:47">
      <c r="AE68" s="539">
        <f t="shared" si="1"/>
        <v>23</v>
      </c>
      <c r="AF68" s="540">
        <v>3.1775701000000003E-2</v>
      </c>
      <c r="AT68" s="539">
        <f t="shared" si="2"/>
        <v>23</v>
      </c>
      <c r="AU68" s="540">
        <v>2.8762012299198749E-2</v>
      </c>
    </row>
    <row r="69" spans="31:47">
      <c r="AE69" s="517">
        <f t="shared" si="1"/>
        <v>24</v>
      </c>
      <c r="AF69" s="541">
        <v>1.6822429999999999E-2</v>
      </c>
      <c r="AT69" s="517">
        <f t="shared" si="2"/>
        <v>24</v>
      </c>
      <c r="AU69" s="541">
        <v>2.383939996212597E-2</v>
      </c>
    </row>
    <row r="70" spans="31:47">
      <c r="AE70" s="503" t="s">
        <v>1</v>
      </c>
      <c r="AF70" s="542">
        <f>SUM(AF46:AF69)</f>
        <v>1.000000003</v>
      </c>
      <c r="AT70" s="503" t="s">
        <v>1</v>
      </c>
      <c r="AU70" s="542">
        <f>SUM(AU46:AU69)</f>
        <v>0.99999999999999967</v>
      </c>
    </row>
    <row r="71" spans="31:47">
      <c r="AE71" s="503" t="s">
        <v>380</v>
      </c>
      <c r="AF71" s="542">
        <f>AVERAGE(AF60:AF62)</f>
        <v>5.0467289999999998E-2</v>
      </c>
      <c r="AT71" s="503" t="s">
        <v>380</v>
      </c>
      <c r="AU71" s="542">
        <f>AVERAGE(AU60:AU62)</f>
        <v>6.0912797789181551E-2</v>
      </c>
    </row>
    <row r="72" spans="31:47">
      <c r="AF72" s="536"/>
    </row>
  </sheetData>
  <mergeCells count="17">
    <mergeCell ref="AB31:AB32"/>
    <mergeCell ref="V39:W40"/>
    <mergeCell ref="AA31:AA32"/>
    <mergeCell ref="U31:Z32"/>
    <mergeCell ref="U24:U27"/>
    <mergeCell ref="V26:W27"/>
    <mergeCell ref="B10:B11"/>
    <mergeCell ref="B8:B9"/>
    <mergeCell ref="E2:F2"/>
    <mergeCell ref="G2:H2"/>
    <mergeCell ref="U37:U40"/>
    <mergeCell ref="L2:O2"/>
    <mergeCell ref="P2:S2"/>
    <mergeCell ref="C14:K14"/>
    <mergeCell ref="C15:K15"/>
    <mergeCell ref="C16:K16"/>
    <mergeCell ref="D2:D3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BW123"/>
  <sheetViews>
    <sheetView topLeftCell="A25" workbookViewId="0">
      <selection activeCell="J52" sqref="J52"/>
    </sheetView>
  </sheetViews>
  <sheetFormatPr defaultRowHeight="14.4"/>
  <cols>
    <col min="1" max="3" width="4.6640625" customWidth="1"/>
    <col min="4" max="4" width="5.33203125" customWidth="1"/>
    <col min="5" max="5" width="9.6640625" customWidth="1"/>
    <col min="6" max="39" width="8.6640625" customWidth="1"/>
    <col min="40" max="40" width="5.109375" customWidth="1"/>
    <col min="41" max="41" width="9.6640625" customWidth="1"/>
    <col min="42" max="71" width="8.6640625" customWidth="1"/>
    <col min="72" max="72" width="4.44140625" customWidth="1"/>
  </cols>
  <sheetData>
    <row r="1" spans="1:15">
      <c r="G1" s="552">
        <f>COLUMN()</f>
        <v>7</v>
      </c>
      <c r="H1" s="552">
        <f>COLUMN()</f>
        <v>8</v>
      </c>
      <c r="I1" s="552">
        <f>COLUMN()</f>
        <v>9</v>
      </c>
      <c r="J1" s="552">
        <f>COLUMN()</f>
        <v>10</v>
      </c>
      <c r="K1" s="552">
        <f>COLUMN()</f>
        <v>11</v>
      </c>
      <c r="L1" s="552">
        <f>COLUMN()</f>
        <v>12</v>
      </c>
      <c r="M1" s="552">
        <f>COLUMN()</f>
        <v>13</v>
      </c>
      <c r="N1" s="552">
        <f>COLUMN()</f>
        <v>14</v>
      </c>
      <c r="O1" s="552">
        <f>COLUMN()</f>
        <v>15</v>
      </c>
    </row>
    <row r="2" spans="1:15">
      <c r="D2" s="10" t="s">
        <v>429</v>
      </c>
      <c r="G2" s="552">
        <f>EARTeamUECandUESCalcs!X32</f>
        <v>24</v>
      </c>
      <c r="H2" s="552">
        <f>EARTeamUECandUESCalcs!W32</f>
        <v>23</v>
      </c>
      <c r="I2" s="552">
        <f>EARTeamUECandUESCalcs!Y32</f>
        <v>25</v>
      </c>
      <c r="J2" s="552">
        <f>G2+10</f>
        <v>34</v>
      </c>
      <c r="K2" s="552">
        <f t="shared" ref="K2" si="0">H2+10</f>
        <v>33</v>
      </c>
      <c r="L2" s="552">
        <f>I2+10</f>
        <v>35</v>
      </c>
      <c r="M2" s="552">
        <f>J2+10</f>
        <v>44</v>
      </c>
      <c r="N2" s="552">
        <f>K2+10</f>
        <v>43</v>
      </c>
      <c r="O2" s="552">
        <f t="shared" ref="O2" si="1">L2+10</f>
        <v>45</v>
      </c>
    </row>
    <row r="3" spans="1:15">
      <c r="H3" s="655" t="s">
        <v>419</v>
      </c>
      <c r="K3" s="655" t="s">
        <v>420</v>
      </c>
      <c r="N3" s="655" t="s">
        <v>421</v>
      </c>
    </row>
    <row r="4" spans="1:15" ht="43.2">
      <c r="D4" t="s">
        <v>107</v>
      </c>
      <c r="E4" t="s">
        <v>416</v>
      </c>
      <c r="F4" s="653" t="s">
        <v>417</v>
      </c>
      <c r="G4" s="655" t="s">
        <v>25</v>
      </c>
      <c r="H4" s="655" t="s">
        <v>406</v>
      </c>
      <c r="I4" s="655" t="s">
        <v>407</v>
      </c>
      <c r="J4" s="655" t="s">
        <v>25</v>
      </c>
      <c r="K4" s="655" t="s">
        <v>406</v>
      </c>
      <c r="L4" s="655" t="s">
        <v>407</v>
      </c>
      <c r="M4" s="655" t="s">
        <v>25</v>
      </c>
      <c r="N4" s="655" t="s">
        <v>406</v>
      </c>
      <c r="O4" s="655" t="s">
        <v>407</v>
      </c>
    </row>
    <row r="5" spans="1:15">
      <c r="A5" s="551" t="str">
        <f>D5&amp;B5&amp;C5</f>
        <v>SCECommonNoRepl</v>
      </c>
      <c r="B5" s="551" t="s">
        <v>387</v>
      </c>
      <c r="C5" s="551" t="s">
        <v>411</v>
      </c>
      <c r="D5" t="s">
        <v>16</v>
      </c>
      <c r="E5" t="s">
        <v>412</v>
      </c>
      <c r="F5" t="s">
        <v>415</v>
      </c>
      <c r="G5" s="550">
        <f>VLOOKUP($A5,t.MFamCommonAnnualUES,G$2,FALSE)</f>
        <v>1517.2185920446818</v>
      </c>
      <c r="H5" s="547">
        <f t="shared" ref="H5:O5" si="2">VLOOKUP($A5,t.MFamCommonAnnualUES,H$2,FALSE)</f>
        <v>0.24219864956078746</v>
      </c>
      <c r="I5" s="549">
        <f t="shared" si="2"/>
        <v>140.41293297855398</v>
      </c>
      <c r="J5" s="550">
        <f t="shared" si="2"/>
        <v>1137.9139440335114</v>
      </c>
      <c r="K5" s="547">
        <f t="shared" si="2"/>
        <v>0.18164898717059064</v>
      </c>
      <c r="L5" s="549">
        <f t="shared" si="2"/>
        <v>105.30969973391548</v>
      </c>
      <c r="M5" s="550">
        <f t="shared" si="2"/>
        <v>758.60929602234091</v>
      </c>
      <c r="N5" s="547">
        <f t="shared" si="2"/>
        <v>0.12109932478039373</v>
      </c>
      <c r="O5" s="549">
        <f t="shared" si="2"/>
        <v>70.206466489276991</v>
      </c>
    </row>
    <row r="6" spans="1:15">
      <c r="A6" s="551" t="str">
        <f t="shared" ref="A6:A20" si="3">D6&amp;B6&amp;C6</f>
        <v>SCECommon</v>
      </c>
      <c r="B6" s="551" t="s">
        <v>387</v>
      </c>
      <c r="C6" s="551"/>
      <c r="D6" t="str">
        <f>D5</f>
        <v>SCE</v>
      </c>
      <c r="E6" t="s">
        <v>413</v>
      </c>
      <c r="F6" t="s">
        <v>415</v>
      </c>
      <c r="G6" s="655">
        <v>0</v>
      </c>
      <c r="H6" s="655">
        <v>0</v>
      </c>
      <c r="I6" s="655">
        <v>0</v>
      </c>
      <c r="J6" s="655">
        <v>0</v>
      </c>
      <c r="K6" s="655">
        <v>0</v>
      </c>
      <c r="L6" s="655">
        <v>0</v>
      </c>
      <c r="M6" s="655">
        <v>0</v>
      </c>
      <c r="N6" s="655">
        <v>0</v>
      </c>
      <c r="O6" s="655">
        <v>0</v>
      </c>
    </row>
    <row r="7" spans="1:15">
      <c r="A7" s="551" t="str">
        <f t="shared" si="3"/>
        <v>SCECommonWorkpaper</v>
      </c>
      <c r="B7" s="551" t="s">
        <v>387</v>
      </c>
      <c r="C7" s="551" t="str">
        <f>F7</f>
        <v>Workpaper</v>
      </c>
      <c r="D7" t="str">
        <f t="shared" ref="D7:D8" si="4">D6</f>
        <v>SCE</v>
      </c>
      <c r="E7" t="s">
        <v>414</v>
      </c>
      <c r="F7" t="s">
        <v>345</v>
      </c>
      <c r="G7" s="550">
        <f t="shared" ref="G7:O9" si="5">VLOOKUP($A7,t.MFamCommonAnnualUES,G$2,FALSE)</f>
        <v>600.59840432700685</v>
      </c>
      <c r="H7" s="547">
        <f t="shared" si="5"/>
        <v>9.7792912625686956E-2</v>
      </c>
      <c r="I7" s="549">
        <f t="shared" si="5"/>
        <v>59.422690722969158</v>
      </c>
      <c r="J7" s="550">
        <f t="shared" si="5"/>
        <v>450.44880324525519</v>
      </c>
      <c r="K7" s="547">
        <f t="shared" si="5"/>
        <v>7.3344684469265217E-2</v>
      </c>
      <c r="L7" s="549">
        <f t="shared" si="5"/>
        <v>44.56701804222687</v>
      </c>
      <c r="M7" s="550">
        <f t="shared" si="5"/>
        <v>300.29920216350342</v>
      </c>
      <c r="N7" s="547">
        <f t="shared" si="5"/>
        <v>4.8896456312843478E-2</v>
      </c>
      <c r="O7" s="549">
        <f t="shared" si="5"/>
        <v>29.711345361484579</v>
      </c>
    </row>
    <row r="8" spans="1:15">
      <c r="A8" s="551" t="str">
        <f t="shared" si="3"/>
        <v>SCECommonEARAdj1</v>
      </c>
      <c r="B8" s="551" t="s">
        <v>387</v>
      </c>
      <c r="C8" s="551" t="str">
        <f t="shared" ref="C8" si="6">F8</f>
        <v>EARAdj1</v>
      </c>
      <c r="D8" t="str">
        <f t="shared" si="4"/>
        <v>SCE</v>
      </c>
      <c r="E8" t="s">
        <v>414</v>
      </c>
      <c r="F8" t="s">
        <v>399</v>
      </c>
      <c r="G8" s="550">
        <f t="shared" si="5"/>
        <v>87.552457422668127</v>
      </c>
      <c r="H8" s="547">
        <f t="shared" si="5"/>
        <v>1.6068201612096659E-2</v>
      </c>
      <c r="I8" s="549">
        <f t="shared" si="5"/>
        <v>23.587568503780183</v>
      </c>
      <c r="J8" s="550">
        <f t="shared" si="5"/>
        <v>65.664343067001099</v>
      </c>
      <c r="K8" s="547">
        <f t="shared" si="5"/>
        <v>1.2051151209072493E-2</v>
      </c>
      <c r="L8" s="549">
        <f t="shared" si="5"/>
        <v>17.690676377835139</v>
      </c>
      <c r="M8" s="550">
        <f t="shared" si="5"/>
        <v>43.776228711334063</v>
      </c>
      <c r="N8" s="547">
        <f t="shared" si="5"/>
        <v>8.0341008060483294E-3</v>
      </c>
      <c r="O8" s="549">
        <f t="shared" si="5"/>
        <v>11.793784251890091</v>
      </c>
    </row>
    <row r="9" spans="1:15">
      <c r="A9" s="551" t="str">
        <f t="shared" si="3"/>
        <v>PGECommonNoRepl</v>
      </c>
      <c r="B9" s="551" t="s">
        <v>387</v>
      </c>
      <c r="C9" s="551" t="s">
        <v>411</v>
      </c>
      <c r="D9" t="s">
        <v>237</v>
      </c>
      <c r="E9" t="str">
        <f t="shared" ref="E9:F20" si="7">E5</f>
        <v>No Replacement</v>
      </c>
      <c r="F9" t="str">
        <f t="shared" si="7"/>
        <v>none</v>
      </c>
      <c r="G9" s="550">
        <f t="shared" si="5"/>
        <v>2783.7316553084192</v>
      </c>
      <c r="H9" s="547">
        <f t="shared" si="5"/>
        <v>0.44537038289337338</v>
      </c>
      <c r="I9" s="549">
        <f t="shared" si="5"/>
        <v>91.623065217487621</v>
      </c>
      <c r="J9" s="550">
        <f t="shared" si="5"/>
        <v>2087.7987414813147</v>
      </c>
      <c r="K9" s="547">
        <f t="shared" si="5"/>
        <v>0.33402778717003007</v>
      </c>
      <c r="L9" s="549">
        <f t="shared" si="5"/>
        <v>68.717298913115727</v>
      </c>
      <c r="M9" s="550">
        <f t="shared" si="5"/>
        <v>1391.8658276542096</v>
      </c>
      <c r="N9" s="547">
        <f t="shared" si="5"/>
        <v>0.22268519144668669</v>
      </c>
      <c r="O9" s="549">
        <f t="shared" si="5"/>
        <v>45.811532608743811</v>
      </c>
    </row>
    <row r="10" spans="1:15">
      <c r="A10" s="551" t="str">
        <f t="shared" si="3"/>
        <v>PGECommon</v>
      </c>
      <c r="B10" s="551" t="s">
        <v>387</v>
      </c>
      <c r="C10" s="551"/>
      <c r="D10" t="str">
        <f>D9</f>
        <v>PGE</v>
      </c>
      <c r="E10" t="str">
        <f t="shared" si="7"/>
        <v>Acquire Similar</v>
      </c>
      <c r="F10" t="str">
        <f t="shared" si="7"/>
        <v>none</v>
      </c>
      <c r="G10" s="655">
        <v>0</v>
      </c>
      <c r="H10" s="655">
        <v>0</v>
      </c>
      <c r="I10" s="655">
        <v>0</v>
      </c>
      <c r="J10" s="655">
        <v>0</v>
      </c>
      <c r="K10" s="655">
        <v>0</v>
      </c>
      <c r="L10" s="655">
        <v>0</v>
      </c>
      <c r="M10" s="655">
        <v>0</v>
      </c>
      <c r="N10" s="655">
        <v>0</v>
      </c>
      <c r="O10" s="655">
        <v>0</v>
      </c>
    </row>
    <row r="11" spans="1:15">
      <c r="A11" s="551" t="str">
        <f t="shared" si="3"/>
        <v>PGECommonWorkpaper</v>
      </c>
      <c r="B11" s="551" t="s">
        <v>387</v>
      </c>
      <c r="C11" s="551" t="str">
        <f>F11</f>
        <v>Workpaper</v>
      </c>
      <c r="D11" t="str">
        <f t="shared" ref="D11:D12" si="8">D10</f>
        <v>PGE</v>
      </c>
      <c r="E11" t="str">
        <f t="shared" si="7"/>
        <v>Acquire New</v>
      </c>
      <c r="F11" t="str">
        <f t="shared" si="7"/>
        <v>Workpaper</v>
      </c>
      <c r="G11" s="550">
        <f t="shared" ref="G11:O13" si="9">VLOOKUP($A11,t.MFamCommonAnnualUES,G$2,FALSE)</f>
        <v>1314.6769334864923</v>
      </c>
      <c r="H11" s="547">
        <f t="shared" si="9"/>
        <v>0.21296290278920008</v>
      </c>
      <c r="I11" s="549">
        <f t="shared" si="9"/>
        <v>32.526361406717022</v>
      </c>
      <c r="J11" s="550">
        <f t="shared" si="9"/>
        <v>986.00770011486929</v>
      </c>
      <c r="K11" s="547">
        <f t="shared" si="9"/>
        <v>0.15972217709190009</v>
      </c>
      <c r="L11" s="549">
        <f t="shared" si="9"/>
        <v>24.394771055037765</v>
      </c>
      <c r="M11" s="550">
        <f t="shared" si="9"/>
        <v>657.33846674324616</v>
      </c>
      <c r="N11" s="547">
        <f t="shared" si="9"/>
        <v>0.10648145139460004</v>
      </c>
      <c r="O11" s="549">
        <f t="shared" si="9"/>
        <v>16.263180703358511</v>
      </c>
    </row>
    <row r="12" spans="1:15">
      <c r="A12" s="551" t="str">
        <f t="shared" si="3"/>
        <v>PGECommonEARAdj1</v>
      </c>
      <c r="B12" s="551" t="s">
        <v>387</v>
      </c>
      <c r="C12" s="551" t="str">
        <f t="shared" ref="C12" si="10">F12</f>
        <v>EARAdj1</v>
      </c>
      <c r="D12" t="str">
        <f t="shared" si="8"/>
        <v>PGE</v>
      </c>
      <c r="E12" t="str">
        <f t="shared" si="7"/>
        <v>Acquire New</v>
      </c>
      <c r="F12" t="str">
        <f t="shared" si="7"/>
        <v>EARAdj1</v>
      </c>
      <c r="G12" s="550">
        <f t="shared" si="9"/>
        <v>338.68577631122616</v>
      </c>
      <c r="H12" s="547">
        <f t="shared" si="9"/>
        <v>5.6868487713632516E-2</v>
      </c>
      <c r="I12" s="549">
        <f t="shared" si="9"/>
        <v>14.620714197020773</v>
      </c>
      <c r="J12" s="550">
        <f t="shared" si="9"/>
        <v>254.01433223341965</v>
      </c>
      <c r="K12" s="547">
        <f t="shared" si="9"/>
        <v>4.2651365785224396E-2</v>
      </c>
      <c r="L12" s="549">
        <f t="shared" si="9"/>
        <v>10.965535647765579</v>
      </c>
      <c r="M12" s="550">
        <f t="shared" si="9"/>
        <v>169.34288815561308</v>
      </c>
      <c r="N12" s="547">
        <f t="shared" si="9"/>
        <v>2.8434243856816258E-2</v>
      </c>
      <c r="O12" s="549">
        <f t="shared" si="9"/>
        <v>7.3103570985103863</v>
      </c>
    </row>
    <row r="13" spans="1:15">
      <c r="A13" s="551" t="str">
        <f t="shared" si="3"/>
        <v>SDGECommonNoRepl</v>
      </c>
      <c r="B13" s="551" t="s">
        <v>387</v>
      </c>
      <c r="C13" s="551" t="s">
        <v>411</v>
      </c>
      <c r="D13" t="s">
        <v>395</v>
      </c>
      <c r="E13" t="str">
        <f t="shared" si="7"/>
        <v>No Replacement</v>
      </c>
      <c r="F13" t="str">
        <f t="shared" si="7"/>
        <v>none</v>
      </c>
      <c r="G13" s="550">
        <f t="shared" si="9"/>
        <v>1678.5815007834487</v>
      </c>
      <c r="H13" s="547">
        <f t="shared" si="9"/>
        <v>0.271590715228965</v>
      </c>
      <c r="I13" s="549">
        <f t="shared" si="9"/>
        <v>135.07906699504255</v>
      </c>
      <c r="J13" s="550">
        <f t="shared" si="9"/>
        <v>1258.9361255875865</v>
      </c>
      <c r="K13" s="547">
        <f t="shared" si="9"/>
        <v>0.20369303642172376</v>
      </c>
      <c r="L13" s="549">
        <f t="shared" si="9"/>
        <v>101.30930024628192</v>
      </c>
      <c r="M13" s="550">
        <f t="shared" si="9"/>
        <v>839.29075039172437</v>
      </c>
      <c r="N13" s="547">
        <f t="shared" si="9"/>
        <v>0.1357953576144825</v>
      </c>
      <c r="O13" s="549">
        <f t="shared" si="9"/>
        <v>67.539533497521276</v>
      </c>
    </row>
    <row r="14" spans="1:15">
      <c r="A14" s="551" t="str">
        <f t="shared" si="3"/>
        <v>SDGECommon</v>
      </c>
      <c r="B14" s="551" t="s">
        <v>387</v>
      </c>
      <c r="C14" s="551"/>
      <c r="D14" t="str">
        <f>D13</f>
        <v>SDGE</v>
      </c>
      <c r="E14" t="str">
        <f t="shared" si="7"/>
        <v>Acquire Similar</v>
      </c>
      <c r="F14" t="str">
        <f t="shared" si="7"/>
        <v>none</v>
      </c>
      <c r="G14" s="655">
        <v>0</v>
      </c>
      <c r="H14" s="655">
        <v>0</v>
      </c>
      <c r="I14" s="655">
        <v>0</v>
      </c>
      <c r="J14" s="655">
        <v>0</v>
      </c>
      <c r="K14" s="655">
        <v>0</v>
      </c>
      <c r="L14" s="655">
        <v>0</v>
      </c>
      <c r="M14" s="655">
        <v>0</v>
      </c>
      <c r="N14" s="655">
        <v>0</v>
      </c>
      <c r="O14" s="655">
        <v>0</v>
      </c>
    </row>
    <row r="15" spans="1:15">
      <c r="A15" s="551" t="str">
        <f t="shared" si="3"/>
        <v>SDGECommonWorkpaper</v>
      </c>
      <c r="B15" s="551" t="s">
        <v>387</v>
      </c>
      <c r="C15" s="551" t="str">
        <f>F15</f>
        <v>Workpaper</v>
      </c>
      <c r="D15" t="str">
        <f t="shared" ref="D15:D16" si="11">D14</f>
        <v>SDGE</v>
      </c>
      <c r="E15" t="str">
        <f t="shared" si="7"/>
        <v>Acquire New</v>
      </c>
      <c r="F15" t="str">
        <f t="shared" si="7"/>
        <v>Workpaper</v>
      </c>
      <c r="G15" s="550">
        <f t="shared" ref="G15:O17" si="12">VLOOKUP($A15,t.MFamCommonAnnualUES,G$2,FALSE)</f>
        <v>713.11282917128483</v>
      </c>
      <c r="H15" s="547">
        <f t="shared" si="12"/>
        <v>0.1169018825956588</v>
      </c>
      <c r="I15" s="549">
        <f t="shared" si="12"/>
        <v>55.540655360368596</v>
      </c>
      <c r="J15" s="550">
        <f t="shared" si="12"/>
        <v>534.83462187846362</v>
      </c>
      <c r="K15" s="547">
        <f t="shared" si="12"/>
        <v>8.7676411946744109E-2</v>
      </c>
      <c r="L15" s="549">
        <f t="shared" si="12"/>
        <v>41.655491520276449</v>
      </c>
      <c r="M15" s="550">
        <f t="shared" si="12"/>
        <v>356.55641458564241</v>
      </c>
      <c r="N15" s="547">
        <f t="shared" si="12"/>
        <v>5.8450941297829399E-2</v>
      </c>
      <c r="O15" s="549">
        <f t="shared" si="12"/>
        <v>27.770327680184298</v>
      </c>
    </row>
    <row r="16" spans="1:15">
      <c r="A16" s="551" t="str">
        <f t="shared" si="3"/>
        <v>SDGECommonEARAdj1</v>
      </c>
      <c r="B16" s="551" t="s">
        <v>387</v>
      </c>
      <c r="C16" s="551" t="str">
        <f t="shared" ref="C16" si="13">F16</f>
        <v>EARAdj1</v>
      </c>
      <c r="D16" t="str">
        <f t="shared" si="11"/>
        <v>SDGE</v>
      </c>
      <c r="E16" t="str">
        <f t="shared" si="7"/>
        <v>Acquire New</v>
      </c>
      <c r="F16" t="str">
        <f t="shared" si="7"/>
        <v>EARAdj1</v>
      </c>
      <c r="G16" s="550">
        <f t="shared" si="12"/>
        <v>128.16453584772836</v>
      </c>
      <c r="H16" s="547">
        <f t="shared" si="12"/>
        <v>2.2304785317025528E-2</v>
      </c>
      <c r="I16" s="549">
        <f t="shared" si="12"/>
        <v>22.260729662616363</v>
      </c>
      <c r="J16" s="550">
        <f t="shared" si="12"/>
        <v>96.12340188579627</v>
      </c>
      <c r="K16" s="547">
        <f t="shared" si="12"/>
        <v>1.6728588987769147E-2</v>
      </c>
      <c r="L16" s="549">
        <f t="shared" si="12"/>
        <v>16.695547246962274</v>
      </c>
      <c r="M16" s="550">
        <f t="shared" si="12"/>
        <v>64.08226792386418</v>
      </c>
      <c r="N16" s="547">
        <f t="shared" si="12"/>
        <v>1.1152392658512764E-2</v>
      </c>
      <c r="O16" s="549">
        <f t="shared" si="12"/>
        <v>11.130364831308182</v>
      </c>
    </row>
    <row r="17" spans="1:72">
      <c r="A17" s="551" t="str">
        <f t="shared" si="3"/>
        <v>SCGCommonNoRepl</v>
      </c>
      <c r="B17" s="551" t="s">
        <v>387</v>
      </c>
      <c r="C17" s="551" t="s">
        <v>411</v>
      </c>
      <c r="D17" t="s">
        <v>301</v>
      </c>
      <c r="E17" t="str">
        <f t="shared" si="7"/>
        <v>No Replacement</v>
      </c>
      <c r="F17" t="str">
        <f t="shared" si="7"/>
        <v>none</v>
      </c>
      <c r="G17" s="550">
        <f t="shared" si="12"/>
        <v>1213.6942602984848</v>
      </c>
      <c r="H17" s="547">
        <f t="shared" si="12"/>
        <v>0.19277068767537686</v>
      </c>
      <c r="I17" s="549">
        <f t="shared" si="12"/>
        <v>152.06479675822879</v>
      </c>
      <c r="J17" s="550">
        <f t="shared" si="12"/>
        <v>910.27069522386353</v>
      </c>
      <c r="K17" s="547">
        <f t="shared" si="12"/>
        <v>0.14457801575653267</v>
      </c>
      <c r="L17" s="549">
        <f t="shared" si="12"/>
        <v>114.04859756867161</v>
      </c>
      <c r="M17" s="550">
        <f t="shared" si="12"/>
        <v>606.84713014924239</v>
      </c>
      <c r="N17" s="547">
        <f t="shared" si="12"/>
        <v>9.6385343837688431E-2</v>
      </c>
      <c r="O17" s="549">
        <f t="shared" si="12"/>
        <v>76.032398379114397</v>
      </c>
    </row>
    <row r="18" spans="1:72">
      <c r="A18" s="551" t="str">
        <f t="shared" si="3"/>
        <v>SCGCommon</v>
      </c>
      <c r="B18" s="551" t="s">
        <v>387</v>
      </c>
      <c r="C18" s="551"/>
      <c r="D18" t="str">
        <f>D17</f>
        <v>SCG</v>
      </c>
      <c r="E18" t="str">
        <f t="shared" si="7"/>
        <v>Acquire Similar</v>
      </c>
      <c r="F18" t="str">
        <f t="shared" si="7"/>
        <v>none</v>
      </c>
      <c r="G18" s="655">
        <v>0</v>
      </c>
      <c r="H18" s="655">
        <v>0</v>
      </c>
      <c r="I18" s="655">
        <v>0</v>
      </c>
      <c r="J18" s="655">
        <v>0</v>
      </c>
      <c r="K18" s="655">
        <v>0</v>
      </c>
      <c r="L18" s="655">
        <v>0</v>
      </c>
      <c r="M18" s="655">
        <v>0</v>
      </c>
      <c r="N18" s="655">
        <v>0</v>
      </c>
      <c r="O18" s="655">
        <v>0</v>
      </c>
    </row>
    <row r="19" spans="1:72">
      <c r="A19" s="551" t="str">
        <f t="shared" si="3"/>
        <v>SCGCommonWorkpaper</v>
      </c>
      <c r="B19" s="551" t="s">
        <v>387</v>
      </c>
      <c r="C19" s="551" t="str">
        <f>F19</f>
        <v>Workpaper</v>
      </c>
      <c r="D19" t="str">
        <f t="shared" ref="D19:D20" si="14">D18</f>
        <v>SCG</v>
      </c>
      <c r="E19" t="str">
        <f t="shared" si="7"/>
        <v>Acquire New</v>
      </c>
      <c r="F19" t="str">
        <f t="shared" si="7"/>
        <v>Workpaper</v>
      </c>
      <c r="G19" s="550">
        <f t="shared" ref="G19:O20" si="15">VLOOKUP($A19,t.MFamCommonAnnualUES,G$2,FALSE)</f>
        <v>464.14750560833329</v>
      </c>
      <c r="H19" s="547">
        <f t="shared" si="15"/>
        <v>7.5681020298334858E-2</v>
      </c>
      <c r="I19" s="549">
        <f t="shared" si="15"/>
        <v>64.668950786885617</v>
      </c>
      <c r="J19" s="550">
        <f t="shared" si="15"/>
        <v>348.11062920624994</v>
      </c>
      <c r="K19" s="547">
        <f t="shared" si="15"/>
        <v>5.6760765223751147E-2</v>
      </c>
      <c r="L19" s="549">
        <f t="shared" si="15"/>
        <v>48.501713090164209</v>
      </c>
      <c r="M19" s="550">
        <f t="shared" si="15"/>
        <v>232.07375280416665</v>
      </c>
      <c r="N19" s="547">
        <f t="shared" si="15"/>
        <v>3.7840510149167429E-2</v>
      </c>
      <c r="O19" s="549">
        <f t="shared" si="15"/>
        <v>32.334475393442808</v>
      </c>
    </row>
    <row r="20" spans="1:72">
      <c r="A20" s="551" t="str">
        <f t="shared" si="3"/>
        <v>SCGCommonEARAdj1</v>
      </c>
      <c r="B20" s="551" t="s">
        <v>387</v>
      </c>
      <c r="C20" s="551" t="str">
        <f t="shared" ref="C20" si="16">F20</f>
        <v>EARAdj1</v>
      </c>
      <c r="D20" t="str">
        <f t="shared" si="14"/>
        <v>SCG</v>
      </c>
      <c r="E20" t="str">
        <f t="shared" si="7"/>
        <v>Acquire New</v>
      </c>
      <c r="F20" t="str">
        <f t="shared" si="7"/>
        <v>EARAdj1</v>
      </c>
      <c r="G20" s="550">
        <f t="shared" si="15"/>
        <v>39.184817726815766</v>
      </c>
      <c r="H20" s="547">
        <f t="shared" si="15"/>
        <v>8.2240624862631589E-3</v>
      </c>
      <c r="I20" s="549">
        <f t="shared" si="15"/>
        <v>25.582593565867736</v>
      </c>
      <c r="J20" s="550">
        <f t="shared" si="15"/>
        <v>29.388613295111824</v>
      </c>
      <c r="K20" s="547">
        <f t="shared" si="15"/>
        <v>6.1680468646973692E-3</v>
      </c>
      <c r="L20" s="549">
        <f t="shared" si="15"/>
        <v>19.186945174400805</v>
      </c>
      <c r="M20" s="550">
        <f t="shared" si="15"/>
        <v>19.592408863407883</v>
      </c>
      <c r="N20" s="547">
        <f t="shared" si="15"/>
        <v>4.1120312431315795E-3</v>
      </c>
      <c r="O20" s="549">
        <f t="shared" si="15"/>
        <v>12.791296782933868</v>
      </c>
    </row>
    <row r="22" spans="1:72" ht="15" thickBot="1"/>
    <row r="23" spans="1:72">
      <c r="D23" s="569"/>
      <c r="E23" s="570"/>
      <c r="F23" s="570"/>
      <c r="G23" s="570"/>
      <c r="H23" s="570"/>
      <c r="I23" s="570"/>
      <c r="J23" s="570"/>
      <c r="K23" s="570"/>
      <c r="L23" s="570"/>
      <c r="M23" s="570"/>
      <c r="N23" s="570"/>
      <c r="O23" s="570"/>
      <c r="P23" s="570"/>
      <c r="Q23" s="570"/>
      <c r="R23" s="570"/>
      <c r="S23" s="570"/>
      <c r="T23" s="570"/>
      <c r="U23" s="570"/>
      <c r="V23" s="570"/>
      <c r="W23" s="570"/>
      <c r="X23" s="570"/>
      <c r="Y23" s="570"/>
      <c r="Z23" s="570"/>
      <c r="AA23" s="570"/>
      <c r="AB23" s="570"/>
      <c r="AC23" s="570"/>
      <c r="AD23" s="570"/>
      <c r="AE23" s="570"/>
      <c r="AF23" s="570"/>
      <c r="AG23" s="570"/>
      <c r="AH23" s="570"/>
      <c r="AI23" s="570"/>
      <c r="AJ23" s="570"/>
      <c r="AK23" s="570"/>
      <c r="AL23" s="571"/>
      <c r="AN23" s="569"/>
      <c r="AO23" s="570"/>
      <c r="AP23" s="570"/>
      <c r="AQ23" s="570"/>
      <c r="AR23" s="570"/>
      <c r="AS23" s="570"/>
      <c r="AT23" s="570"/>
      <c r="AU23" s="570"/>
      <c r="AV23" s="570"/>
      <c r="AW23" s="570"/>
      <c r="AX23" s="570"/>
      <c r="AY23" s="570"/>
      <c r="AZ23" s="570"/>
      <c r="BA23" s="570"/>
      <c r="BB23" s="570"/>
      <c r="BC23" s="570"/>
      <c r="BD23" s="570"/>
      <c r="BE23" s="570"/>
      <c r="BF23" s="570"/>
      <c r="BG23" s="570"/>
      <c r="BH23" s="570"/>
      <c r="BI23" s="570"/>
      <c r="BJ23" s="570"/>
      <c r="BK23" s="570"/>
      <c r="BL23" s="570"/>
      <c r="BM23" s="570"/>
      <c r="BN23" s="570"/>
      <c r="BO23" s="570"/>
      <c r="BP23" s="570"/>
      <c r="BQ23" s="570"/>
      <c r="BR23" s="570"/>
      <c r="BS23" s="570"/>
      <c r="BT23" s="571"/>
    </row>
    <row r="24" spans="1:72" ht="18">
      <c r="D24" s="572"/>
      <c r="E24" s="894" t="s">
        <v>430</v>
      </c>
      <c r="F24" s="894"/>
      <c r="G24" s="894"/>
      <c r="H24" s="894"/>
      <c r="I24" s="894"/>
      <c r="J24" s="894"/>
      <c r="K24" s="894"/>
      <c r="L24" s="894"/>
      <c r="M24" s="894"/>
      <c r="N24" s="894"/>
      <c r="O24" s="894"/>
      <c r="P24" s="894"/>
      <c r="Q24" s="894"/>
      <c r="R24" s="894"/>
      <c r="S24" s="894"/>
      <c r="T24" s="894"/>
      <c r="U24" s="894"/>
      <c r="V24" s="894"/>
      <c r="W24" s="894"/>
      <c r="X24" s="894"/>
      <c r="Y24" s="894"/>
      <c r="Z24" s="14"/>
      <c r="AL24" s="573"/>
      <c r="AN24" s="572"/>
      <c r="AO24" s="894" t="s">
        <v>453</v>
      </c>
      <c r="AP24" s="894"/>
      <c r="AQ24" s="894"/>
      <c r="AR24" s="894"/>
      <c r="AS24" s="894"/>
      <c r="AT24" s="894"/>
      <c r="AU24" s="894"/>
      <c r="AV24" s="894"/>
      <c r="AW24" s="894"/>
      <c r="AX24" s="894"/>
      <c r="AY24" s="894"/>
      <c r="AZ24" s="894"/>
      <c r="BA24" s="894"/>
      <c r="BB24" s="894"/>
      <c r="BC24" s="894"/>
      <c r="BD24" s="894"/>
      <c r="BE24" s="894"/>
      <c r="BF24" s="894"/>
      <c r="BG24" s="894"/>
      <c r="BH24" s="14"/>
      <c r="BT24" s="573"/>
    </row>
    <row r="25" spans="1:72" ht="15" thickBot="1">
      <c r="D25" s="572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L25" s="573"/>
      <c r="AN25" s="572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T25" s="573"/>
    </row>
    <row r="26" spans="1:72" ht="15" thickBot="1">
      <c r="D26" s="572"/>
      <c r="E26" s="14"/>
      <c r="F26" s="14"/>
      <c r="G26" s="14"/>
      <c r="H26" s="14"/>
      <c r="J26" s="11"/>
      <c r="K26" s="11"/>
      <c r="L26" s="12"/>
      <c r="M26" s="581" t="s">
        <v>428</v>
      </c>
      <c r="N26" s="582">
        <f>'SCE Savings'!H21</f>
        <v>1073.5930752526692</v>
      </c>
      <c r="O26" s="583">
        <f>'PG&amp;E Savings'!H21</f>
        <v>1988.1148593427515</v>
      </c>
      <c r="P26" s="583">
        <f>'SDG&amp;E Savings'!H21</f>
        <v>1186.5803177396904</v>
      </c>
      <c r="Q26" s="584">
        <f>'SCG Savings'!H21</f>
        <v>847.00210986695072</v>
      </c>
      <c r="R26" s="14"/>
      <c r="S26" s="14"/>
      <c r="T26" s="14"/>
      <c r="U26" s="14"/>
      <c r="V26" s="14"/>
      <c r="W26" s="14"/>
      <c r="X26" s="14"/>
      <c r="Y26" s="14"/>
      <c r="Z26" s="14"/>
      <c r="AL26" s="573"/>
      <c r="AN26" s="572"/>
      <c r="AO26" s="14"/>
      <c r="AP26" s="14"/>
      <c r="AQ26" s="14"/>
      <c r="AR26" s="14"/>
      <c r="AS26" s="14"/>
      <c r="AT26" s="14"/>
      <c r="AU26" s="636"/>
      <c r="AV26" s="630"/>
      <c r="AW26" s="630"/>
      <c r="AX26" s="630"/>
      <c r="AY26" s="630"/>
      <c r="AZ26" s="14"/>
      <c r="BA26" s="14"/>
      <c r="BB26" s="14"/>
      <c r="BC26" s="14"/>
      <c r="BD26" s="14"/>
      <c r="BE26" s="14"/>
      <c r="BF26" s="14"/>
      <c r="BG26" s="14"/>
      <c r="BH26" s="14"/>
      <c r="BT26" s="573"/>
    </row>
    <row r="27" spans="1:72">
      <c r="D27" s="572"/>
      <c r="E27" s="14"/>
      <c r="F27" s="14"/>
      <c r="G27" s="14"/>
      <c r="H27" s="14"/>
      <c r="I27" s="14"/>
      <c r="J27" s="14"/>
      <c r="K27" s="14"/>
      <c r="L27" s="14"/>
      <c r="M27" s="14"/>
      <c r="N27" s="574" t="s">
        <v>387</v>
      </c>
      <c r="O27" s="574" t="s">
        <v>387</v>
      </c>
      <c r="P27" s="574" t="s">
        <v>387</v>
      </c>
      <c r="Q27" s="574" t="s">
        <v>387</v>
      </c>
      <c r="R27" s="574" t="s">
        <v>387</v>
      </c>
      <c r="S27" s="574" t="s">
        <v>387</v>
      </c>
      <c r="T27" s="574" t="s">
        <v>387</v>
      </c>
      <c r="U27" s="574" t="s">
        <v>387</v>
      </c>
      <c r="V27" s="574" t="s">
        <v>387</v>
      </c>
      <c r="W27" s="574" t="s">
        <v>387</v>
      </c>
      <c r="X27" s="574" t="s">
        <v>387</v>
      </c>
      <c r="Y27" s="574" t="s">
        <v>387</v>
      </c>
      <c r="Z27" s="574" t="s">
        <v>387</v>
      </c>
      <c r="AA27" s="574" t="s">
        <v>387</v>
      </c>
      <c r="AB27" s="574" t="s">
        <v>387</v>
      </c>
      <c r="AC27" s="574" t="s">
        <v>387</v>
      </c>
      <c r="AD27" s="574" t="s">
        <v>387</v>
      </c>
      <c r="AE27" s="574" t="s">
        <v>387</v>
      </c>
      <c r="AF27" s="574" t="s">
        <v>387</v>
      </c>
      <c r="AG27" s="574" t="s">
        <v>387</v>
      </c>
      <c r="AH27" s="574" t="s">
        <v>387</v>
      </c>
      <c r="AI27" s="574" t="s">
        <v>387</v>
      </c>
      <c r="AJ27" s="574" t="s">
        <v>387</v>
      </c>
      <c r="AK27" s="574" t="s">
        <v>387</v>
      </c>
      <c r="AL27" s="573"/>
      <c r="AN27" s="572"/>
      <c r="AO27" s="14"/>
      <c r="AP27" s="14"/>
      <c r="AQ27" s="14"/>
      <c r="AR27" s="14"/>
      <c r="AS27" s="14"/>
      <c r="AT27" s="14"/>
      <c r="AU27" s="14"/>
      <c r="AV27" s="574" t="s">
        <v>387</v>
      </c>
      <c r="AW27" s="574" t="s">
        <v>387</v>
      </c>
      <c r="AX27" s="574" t="s">
        <v>387</v>
      </c>
      <c r="AY27" s="574" t="s">
        <v>387</v>
      </c>
      <c r="AZ27" s="574" t="s">
        <v>387</v>
      </c>
      <c r="BA27" s="574" t="s">
        <v>387</v>
      </c>
      <c r="BB27" s="574" t="s">
        <v>387</v>
      </c>
      <c r="BC27" s="574" t="s">
        <v>387</v>
      </c>
      <c r="BD27" s="574" t="s">
        <v>387</v>
      </c>
      <c r="BE27" s="574" t="s">
        <v>387</v>
      </c>
      <c r="BF27" s="574" t="s">
        <v>387</v>
      </c>
      <c r="BG27" s="574" t="s">
        <v>387</v>
      </c>
      <c r="BH27" s="574" t="s">
        <v>387</v>
      </c>
      <c r="BI27" s="574" t="s">
        <v>387</v>
      </c>
      <c r="BJ27" s="574" t="s">
        <v>387</v>
      </c>
      <c r="BK27" s="574" t="s">
        <v>387</v>
      </c>
      <c r="BL27" s="574" t="s">
        <v>387</v>
      </c>
      <c r="BM27" s="574" t="s">
        <v>387</v>
      </c>
      <c r="BN27" s="574" t="s">
        <v>387</v>
      </c>
      <c r="BO27" s="574" t="s">
        <v>387</v>
      </c>
      <c r="BP27" s="574" t="s">
        <v>387</v>
      </c>
      <c r="BQ27" s="574" t="s">
        <v>387</v>
      </c>
      <c r="BR27" s="574" t="s">
        <v>387</v>
      </c>
      <c r="BS27" s="574" t="s">
        <v>387</v>
      </c>
      <c r="BT27" s="573"/>
    </row>
    <row r="28" spans="1:72">
      <c r="D28" s="572"/>
      <c r="E28" s="14"/>
      <c r="F28" s="14"/>
      <c r="G28" s="14"/>
      <c r="H28" s="14"/>
      <c r="I28" s="14"/>
      <c r="J28" s="14"/>
      <c r="K28" s="575"/>
      <c r="L28" s="575"/>
      <c r="M28" s="575"/>
      <c r="N28" s="574" t="s">
        <v>345</v>
      </c>
      <c r="O28" s="574" t="s">
        <v>345</v>
      </c>
      <c r="P28" s="574" t="s">
        <v>345</v>
      </c>
      <c r="Q28" s="574" t="s">
        <v>345</v>
      </c>
      <c r="R28" s="574" t="s">
        <v>345</v>
      </c>
      <c r="S28" s="574" t="s">
        <v>345</v>
      </c>
      <c r="T28" s="574" t="s">
        <v>345</v>
      </c>
      <c r="U28" s="574" t="s">
        <v>345</v>
      </c>
      <c r="V28" s="574" t="s">
        <v>345</v>
      </c>
      <c r="W28" s="574" t="s">
        <v>345</v>
      </c>
      <c r="X28" s="574" t="s">
        <v>345</v>
      </c>
      <c r="Y28" s="574" t="s">
        <v>345</v>
      </c>
      <c r="Z28" s="574" t="s">
        <v>399</v>
      </c>
      <c r="AA28" s="574" t="s">
        <v>399</v>
      </c>
      <c r="AB28" s="574" t="s">
        <v>399</v>
      </c>
      <c r="AC28" s="574" t="s">
        <v>399</v>
      </c>
      <c r="AD28" s="574" t="s">
        <v>399</v>
      </c>
      <c r="AE28" s="574" t="s">
        <v>399</v>
      </c>
      <c r="AF28" s="574" t="s">
        <v>399</v>
      </c>
      <c r="AG28" s="574" t="s">
        <v>399</v>
      </c>
      <c r="AH28" s="574" t="s">
        <v>399</v>
      </c>
      <c r="AI28" s="574" t="s">
        <v>399</v>
      </c>
      <c r="AJ28" s="574" t="s">
        <v>399</v>
      </c>
      <c r="AK28" s="574" t="s">
        <v>399</v>
      </c>
      <c r="AL28" s="573"/>
      <c r="AN28" s="572"/>
      <c r="AO28" s="14"/>
      <c r="AP28" s="14"/>
      <c r="AQ28" s="14"/>
      <c r="AR28" s="14"/>
      <c r="AS28" s="14"/>
      <c r="AT28" s="14"/>
      <c r="AU28" s="575"/>
      <c r="AV28" s="574" t="s">
        <v>345</v>
      </c>
      <c r="AW28" s="574" t="s">
        <v>345</v>
      </c>
      <c r="AX28" s="574" t="s">
        <v>345</v>
      </c>
      <c r="AY28" s="574" t="s">
        <v>345</v>
      </c>
      <c r="AZ28" s="574" t="s">
        <v>345</v>
      </c>
      <c r="BA28" s="574" t="s">
        <v>345</v>
      </c>
      <c r="BB28" s="574" t="s">
        <v>345</v>
      </c>
      <c r="BC28" s="574" t="s">
        <v>345</v>
      </c>
      <c r="BD28" s="574" t="s">
        <v>345</v>
      </c>
      <c r="BE28" s="574" t="s">
        <v>345</v>
      </c>
      <c r="BF28" s="574" t="s">
        <v>345</v>
      </c>
      <c r="BG28" s="574" t="s">
        <v>345</v>
      </c>
      <c r="BH28" s="574" t="s">
        <v>399</v>
      </c>
      <c r="BI28" s="574" t="s">
        <v>399</v>
      </c>
      <c r="BJ28" s="574" t="s">
        <v>399</v>
      </c>
      <c r="BK28" s="574" t="s">
        <v>399</v>
      </c>
      <c r="BL28" s="574" t="s">
        <v>399</v>
      </c>
      <c r="BM28" s="574" t="s">
        <v>399</v>
      </c>
      <c r="BN28" s="574" t="s">
        <v>399</v>
      </c>
      <c r="BO28" s="574" t="s">
        <v>399</v>
      </c>
      <c r="BP28" s="574" t="s">
        <v>399</v>
      </c>
      <c r="BQ28" s="574" t="s">
        <v>399</v>
      </c>
      <c r="BR28" s="574" t="s">
        <v>399</v>
      </c>
      <c r="BS28" s="574" t="s">
        <v>399</v>
      </c>
      <c r="BT28" s="573"/>
    </row>
    <row r="29" spans="1:72">
      <c r="D29" s="572"/>
      <c r="E29" s="14"/>
      <c r="F29" s="14"/>
      <c r="G29" s="14"/>
      <c r="H29" s="14"/>
      <c r="I29" s="14"/>
      <c r="J29" s="14"/>
      <c r="K29" s="657"/>
      <c r="L29" s="656" t="s">
        <v>458</v>
      </c>
      <c r="M29" s="658"/>
      <c r="N29" s="856" t="s">
        <v>419</v>
      </c>
      <c r="O29" s="857"/>
      <c r="P29" s="857"/>
      <c r="Q29" s="858"/>
      <c r="R29" s="856" t="s">
        <v>420</v>
      </c>
      <c r="S29" s="857"/>
      <c r="T29" s="857"/>
      <c r="U29" s="858"/>
      <c r="V29" s="856" t="s">
        <v>421</v>
      </c>
      <c r="W29" s="857"/>
      <c r="X29" s="857"/>
      <c r="Y29" s="858"/>
      <c r="Z29" s="856" t="s">
        <v>419</v>
      </c>
      <c r="AA29" s="857"/>
      <c r="AB29" s="857"/>
      <c r="AC29" s="858"/>
      <c r="AD29" s="856" t="s">
        <v>420</v>
      </c>
      <c r="AE29" s="857"/>
      <c r="AF29" s="857"/>
      <c r="AG29" s="858"/>
      <c r="AH29" s="856" t="s">
        <v>421</v>
      </c>
      <c r="AI29" s="857"/>
      <c r="AJ29" s="857"/>
      <c r="AK29" s="858"/>
      <c r="AL29" s="573"/>
      <c r="AN29" s="572"/>
      <c r="AO29" s="14" t="s">
        <v>427</v>
      </c>
      <c r="AP29" s="14"/>
      <c r="AQ29" s="14"/>
      <c r="AR29" s="14"/>
      <c r="AS29" s="14"/>
      <c r="AT29" s="14"/>
      <c r="AU29" s="575"/>
      <c r="AV29" s="856" t="s">
        <v>419</v>
      </c>
      <c r="AW29" s="857"/>
      <c r="AX29" s="857"/>
      <c r="AY29" s="858"/>
      <c r="AZ29" s="856" t="s">
        <v>420</v>
      </c>
      <c r="BA29" s="857"/>
      <c r="BB29" s="857"/>
      <c r="BC29" s="858"/>
      <c r="BD29" s="856" t="s">
        <v>421</v>
      </c>
      <c r="BE29" s="857"/>
      <c r="BF29" s="857"/>
      <c r="BG29" s="858"/>
      <c r="BH29" s="856" t="s">
        <v>419</v>
      </c>
      <c r="BI29" s="857"/>
      <c r="BJ29" s="857"/>
      <c r="BK29" s="858"/>
      <c r="BL29" s="856" t="s">
        <v>420</v>
      </c>
      <c r="BM29" s="857"/>
      <c r="BN29" s="857"/>
      <c r="BO29" s="858"/>
      <c r="BP29" s="856" t="s">
        <v>421</v>
      </c>
      <c r="BQ29" s="857"/>
      <c r="BR29" s="857"/>
      <c r="BS29" s="858"/>
      <c r="BT29" s="573"/>
    </row>
    <row r="30" spans="1:72" ht="15" customHeight="1">
      <c r="D30" s="572"/>
      <c r="E30" s="867" t="s">
        <v>332</v>
      </c>
      <c r="F30" s="868"/>
      <c r="G30" s="868"/>
      <c r="H30" s="868"/>
      <c r="I30" s="868"/>
      <c r="J30" s="869"/>
      <c r="K30" s="873" t="s">
        <v>469</v>
      </c>
      <c r="L30" s="865" t="s">
        <v>459</v>
      </c>
      <c r="M30" s="866"/>
      <c r="N30" s="853" t="s">
        <v>423</v>
      </c>
      <c r="O30" s="854"/>
      <c r="P30" s="854"/>
      <c r="Q30" s="855"/>
      <c r="R30" s="853" t="s">
        <v>423</v>
      </c>
      <c r="S30" s="854"/>
      <c r="T30" s="854"/>
      <c r="U30" s="855"/>
      <c r="V30" s="853" t="s">
        <v>423</v>
      </c>
      <c r="W30" s="854"/>
      <c r="X30" s="854"/>
      <c r="Y30" s="855"/>
      <c r="Z30" s="853" t="s">
        <v>424</v>
      </c>
      <c r="AA30" s="854"/>
      <c r="AB30" s="854"/>
      <c r="AC30" s="855"/>
      <c r="AD30" s="853" t="s">
        <v>424</v>
      </c>
      <c r="AE30" s="854"/>
      <c r="AF30" s="854"/>
      <c r="AG30" s="855"/>
      <c r="AH30" s="853" t="s">
        <v>424</v>
      </c>
      <c r="AI30" s="854"/>
      <c r="AJ30" s="854"/>
      <c r="AK30" s="855"/>
      <c r="AL30" s="573"/>
      <c r="AN30" s="572"/>
      <c r="AO30" s="867" t="s">
        <v>332</v>
      </c>
      <c r="AP30" s="868"/>
      <c r="AQ30" s="868"/>
      <c r="AR30" s="868"/>
      <c r="AS30" s="868"/>
      <c r="AT30" s="869"/>
      <c r="AU30" s="873" t="s">
        <v>426</v>
      </c>
      <c r="AV30" s="853" t="s">
        <v>423</v>
      </c>
      <c r="AW30" s="854"/>
      <c r="AX30" s="854"/>
      <c r="AY30" s="855"/>
      <c r="AZ30" s="853" t="s">
        <v>423</v>
      </c>
      <c r="BA30" s="854"/>
      <c r="BB30" s="854"/>
      <c r="BC30" s="855"/>
      <c r="BD30" s="853" t="s">
        <v>423</v>
      </c>
      <c r="BE30" s="854"/>
      <c r="BF30" s="854"/>
      <c r="BG30" s="855"/>
      <c r="BH30" s="853" t="s">
        <v>424</v>
      </c>
      <c r="BI30" s="854"/>
      <c r="BJ30" s="854"/>
      <c r="BK30" s="855"/>
      <c r="BL30" s="853" t="s">
        <v>424</v>
      </c>
      <c r="BM30" s="854"/>
      <c r="BN30" s="854"/>
      <c r="BO30" s="855"/>
      <c r="BP30" s="853" t="s">
        <v>424</v>
      </c>
      <c r="BQ30" s="854"/>
      <c r="BR30" s="854"/>
      <c r="BS30" s="855"/>
      <c r="BT30" s="573"/>
    </row>
    <row r="31" spans="1:72">
      <c r="D31" s="572"/>
      <c r="E31" s="870"/>
      <c r="F31" s="871"/>
      <c r="G31" s="871"/>
      <c r="H31" s="871"/>
      <c r="I31" s="871"/>
      <c r="J31" s="872"/>
      <c r="K31" s="874"/>
      <c r="L31" s="654" t="s">
        <v>460</v>
      </c>
      <c r="M31" s="639" t="s">
        <v>461</v>
      </c>
      <c r="N31" s="517" t="s">
        <v>16</v>
      </c>
      <c r="O31" s="555" t="s">
        <v>237</v>
      </c>
      <c r="P31" s="555" t="s">
        <v>395</v>
      </c>
      <c r="Q31" s="507" t="s">
        <v>301</v>
      </c>
      <c r="R31" s="517" t="s">
        <v>16</v>
      </c>
      <c r="S31" s="555" t="s">
        <v>237</v>
      </c>
      <c r="T31" s="555" t="s">
        <v>395</v>
      </c>
      <c r="U31" s="507" t="s">
        <v>301</v>
      </c>
      <c r="V31" s="517" t="s">
        <v>16</v>
      </c>
      <c r="W31" s="555" t="s">
        <v>237</v>
      </c>
      <c r="X31" s="555" t="s">
        <v>395</v>
      </c>
      <c r="Y31" s="507" t="s">
        <v>301</v>
      </c>
      <c r="Z31" s="517" t="s">
        <v>16</v>
      </c>
      <c r="AA31" s="555" t="s">
        <v>237</v>
      </c>
      <c r="AB31" s="555" t="s">
        <v>395</v>
      </c>
      <c r="AC31" s="507" t="s">
        <v>301</v>
      </c>
      <c r="AD31" s="517" t="s">
        <v>16</v>
      </c>
      <c r="AE31" s="555" t="s">
        <v>237</v>
      </c>
      <c r="AF31" s="555" t="s">
        <v>395</v>
      </c>
      <c r="AG31" s="507" t="s">
        <v>301</v>
      </c>
      <c r="AH31" s="517" t="s">
        <v>16</v>
      </c>
      <c r="AI31" s="555" t="s">
        <v>237</v>
      </c>
      <c r="AJ31" s="555" t="s">
        <v>395</v>
      </c>
      <c r="AK31" s="507" t="s">
        <v>301</v>
      </c>
      <c r="AL31" s="573"/>
      <c r="AN31" s="572"/>
      <c r="AO31" s="870"/>
      <c r="AP31" s="871"/>
      <c r="AQ31" s="871"/>
      <c r="AR31" s="871"/>
      <c r="AS31" s="871"/>
      <c r="AT31" s="872"/>
      <c r="AU31" s="874"/>
      <c r="AV31" s="517" t="s">
        <v>16</v>
      </c>
      <c r="AW31" s="555" t="s">
        <v>237</v>
      </c>
      <c r="AX31" s="555" t="s">
        <v>395</v>
      </c>
      <c r="AY31" s="507" t="s">
        <v>301</v>
      </c>
      <c r="AZ31" s="517" t="s">
        <v>16</v>
      </c>
      <c r="BA31" s="555" t="s">
        <v>237</v>
      </c>
      <c r="BB31" s="555" t="s">
        <v>395</v>
      </c>
      <c r="BC31" s="507" t="s">
        <v>301</v>
      </c>
      <c r="BD31" s="517" t="s">
        <v>16</v>
      </c>
      <c r="BE31" s="555" t="s">
        <v>237</v>
      </c>
      <c r="BF31" s="555" t="s">
        <v>395</v>
      </c>
      <c r="BG31" s="507" t="s">
        <v>301</v>
      </c>
      <c r="BH31" s="517" t="s">
        <v>16</v>
      </c>
      <c r="BI31" s="555" t="s">
        <v>237</v>
      </c>
      <c r="BJ31" s="555" t="s">
        <v>395</v>
      </c>
      <c r="BK31" s="507" t="s">
        <v>301</v>
      </c>
      <c r="BL31" s="517" t="s">
        <v>16</v>
      </c>
      <c r="BM31" s="555" t="s">
        <v>237</v>
      </c>
      <c r="BN31" s="555" t="s">
        <v>395</v>
      </c>
      <c r="BO31" s="507" t="s">
        <v>301</v>
      </c>
      <c r="BP31" s="517" t="s">
        <v>16</v>
      </c>
      <c r="BQ31" s="555" t="s">
        <v>237</v>
      </c>
      <c r="BR31" s="555" t="s">
        <v>395</v>
      </c>
      <c r="BS31" s="507" t="s">
        <v>301</v>
      </c>
      <c r="BT31" s="573"/>
    </row>
    <row r="32" spans="1:72">
      <c r="D32" s="572"/>
      <c r="E32" s="477" t="s">
        <v>333</v>
      </c>
      <c r="F32" s="478"/>
      <c r="G32" s="478"/>
      <c r="H32" s="478"/>
      <c r="I32" s="478"/>
      <c r="J32" s="479"/>
      <c r="K32" s="531">
        <f>EARTeamReviewAlts!K31</f>
        <v>0</v>
      </c>
      <c r="L32" s="531">
        <f>EARTeamReviewAlts!L31</f>
        <v>0</v>
      </c>
      <c r="M32" s="531">
        <f>EARTeamReviewAlts!M31</f>
        <v>0</v>
      </c>
      <c r="N32" s="561">
        <f>VLOOKUP(N$31&amp;N$27&amp;N$28,t.MFAMCommonUESSummary,N$54,FALSE)</f>
        <v>600.59840432700685</v>
      </c>
      <c r="O32" s="562">
        <f t="shared" ref="O32:AK32" si="17">VLOOKUP(O$31&amp;O$27&amp;O$28,t.MFAMCommonUESSummary,O$54,FALSE)</f>
        <v>1314.6769334864923</v>
      </c>
      <c r="P32" s="562">
        <f t="shared" si="17"/>
        <v>713.11282917128483</v>
      </c>
      <c r="Q32" s="563">
        <f t="shared" si="17"/>
        <v>464.14750560833329</v>
      </c>
      <c r="R32" s="561">
        <f t="shared" si="17"/>
        <v>450.44880324525519</v>
      </c>
      <c r="S32" s="562">
        <f t="shared" si="17"/>
        <v>986.00770011486929</v>
      </c>
      <c r="T32" s="562">
        <f t="shared" si="17"/>
        <v>534.83462187846362</v>
      </c>
      <c r="U32" s="563">
        <f t="shared" si="17"/>
        <v>348.11062920624994</v>
      </c>
      <c r="V32" s="561">
        <f t="shared" si="17"/>
        <v>300.29920216350342</v>
      </c>
      <c r="W32" s="562">
        <f t="shared" si="17"/>
        <v>657.33846674324616</v>
      </c>
      <c r="X32" s="562">
        <f t="shared" si="17"/>
        <v>356.55641458564241</v>
      </c>
      <c r="Y32" s="563">
        <f t="shared" si="17"/>
        <v>232.07375280416665</v>
      </c>
      <c r="Z32" s="561">
        <f t="shared" si="17"/>
        <v>87.552457422668127</v>
      </c>
      <c r="AA32" s="562">
        <f t="shared" si="17"/>
        <v>338.68577631122616</v>
      </c>
      <c r="AB32" s="562">
        <f t="shared" si="17"/>
        <v>128.16453584772836</v>
      </c>
      <c r="AC32" s="563">
        <f t="shared" si="17"/>
        <v>39.184817726815766</v>
      </c>
      <c r="AD32" s="561">
        <f t="shared" si="17"/>
        <v>65.664343067001099</v>
      </c>
      <c r="AE32" s="562">
        <f t="shared" si="17"/>
        <v>254.01433223341965</v>
      </c>
      <c r="AF32" s="562">
        <f t="shared" si="17"/>
        <v>96.12340188579627</v>
      </c>
      <c r="AG32" s="563">
        <f t="shared" si="17"/>
        <v>29.388613295111824</v>
      </c>
      <c r="AH32" s="561">
        <f t="shared" si="17"/>
        <v>43.776228711334063</v>
      </c>
      <c r="AI32" s="562">
        <f t="shared" si="17"/>
        <v>169.34288815561308</v>
      </c>
      <c r="AJ32" s="562">
        <f t="shared" si="17"/>
        <v>64.08226792386418</v>
      </c>
      <c r="AK32" s="563">
        <f t="shared" si="17"/>
        <v>19.592408863407883</v>
      </c>
      <c r="AL32" s="573"/>
      <c r="AN32" s="572"/>
      <c r="AO32" s="477" t="s">
        <v>333</v>
      </c>
      <c r="AP32" s="478"/>
      <c r="AQ32" s="478"/>
      <c r="AR32" s="478"/>
      <c r="AS32" s="478"/>
      <c r="AT32" s="479"/>
      <c r="AU32" s="531">
        <f t="shared" ref="AU32:AU40" si="18">K32</f>
        <v>0</v>
      </c>
      <c r="AV32" s="561">
        <f t="shared" ref="AV32:BE33" si="19">N32</f>
        <v>600.59840432700685</v>
      </c>
      <c r="AW32" s="562">
        <f t="shared" si="19"/>
        <v>1314.6769334864923</v>
      </c>
      <c r="AX32" s="562">
        <f t="shared" si="19"/>
        <v>713.11282917128483</v>
      </c>
      <c r="AY32" s="563">
        <f t="shared" si="19"/>
        <v>464.14750560833329</v>
      </c>
      <c r="AZ32" s="561">
        <f t="shared" si="19"/>
        <v>450.44880324525519</v>
      </c>
      <c r="BA32" s="562">
        <f t="shared" si="19"/>
        <v>986.00770011486929</v>
      </c>
      <c r="BB32" s="562">
        <f t="shared" si="19"/>
        <v>534.83462187846362</v>
      </c>
      <c r="BC32" s="563">
        <f t="shared" si="19"/>
        <v>348.11062920624994</v>
      </c>
      <c r="BD32" s="561">
        <f t="shared" si="19"/>
        <v>300.29920216350342</v>
      </c>
      <c r="BE32" s="562">
        <f t="shared" si="19"/>
        <v>657.33846674324616</v>
      </c>
      <c r="BF32" s="562">
        <f t="shared" ref="BF32:BO33" si="20">X32</f>
        <v>356.55641458564241</v>
      </c>
      <c r="BG32" s="563">
        <f t="shared" si="20"/>
        <v>232.07375280416665</v>
      </c>
      <c r="BH32" s="561">
        <f t="shared" si="20"/>
        <v>87.552457422668127</v>
      </c>
      <c r="BI32" s="562">
        <f t="shared" si="20"/>
        <v>338.68577631122616</v>
      </c>
      <c r="BJ32" s="562">
        <f t="shared" si="20"/>
        <v>128.16453584772836</v>
      </c>
      <c r="BK32" s="563">
        <f t="shared" si="20"/>
        <v>39.184817726815766</v>
      </c>
      <c r="BL32" s="561">
        <f t="shared" si="20"/>
        <v>65.664343067001099</v>
      </c>
      <c r="BM32" s="562">
        <f t="shared" si="20"/>
        <v>254.01433223341965</v>
      </c>
      <c r="BN32" s="562">
        <f t="shared" si="20"/>
        <v>96.12340188579627</v>
      </c>
      <c r="BO32" s="563">
        <f t="shared" si="20"/>
        <v>29.388613295111824</v>
      </c>
      <c r="BP32" s="561">
        <f t="shared" ref="BP32:BS33" si="21">AH32</f>
        <v>43.776228711334063</v>
      </c>
      <c r="BQ32" s="562">
        <f t="shared" si="21"/>
        <v>169.34288815561308</v>
      </c>
      <c r="BR32" s="562">
        <f t="shared" si="21"/>
        <v>64.08226792386418</v>
      </c>
      <c r="BS32" s="563">
        <f t="shared" si="21"/>
        <v>19.592408863407883</v>
      </c>
      <c r="BT32" s="573"/>
    </row>
    <row r="33" spans="4:72">
      <c r="D33" s="572"/>
      <c r="E33" s="477" t="s">
        <v>334</v>
      </c>
      <c r="F33" s="478"/>
      <c r="G33" s="478"/>
      <c r="H33" s="478"/>
      <c r="I33" s="478"/>
      <c r="J33" s="479"/>
      <c r="K33" s="531">
        <f>EARTeamReviewAlts!K32</f>
        <v>0</v>
      </c>
      <c r="L33" s="531">
        <f>EARTeamReviewAlts!L32</f>
        <v>0</v>
      </c>
      <c r="M33" s="531">
        <f>EARTeamReviewAlts!M32</f>
        <v>0</v>
      </c>
      <c r="N33" s="503">
        <v>0</v>
      </c>
      <c r="O33" s="564">
        <v>0</v>
      </c>
      <c r="P33" s="564">
        <v>0</v>
      </c>
      <c r="Q33" s="504">
        <v>0</v>
      </c>
      <c r="R33" s="503">
        <v>0</v>
      </c>
      <c r="S33" s="564">
        <v>0</v>
      </c>
      <c r="T33" s="564">
        <v>0</v>
      </c>
      <c r="U33" s="504">
        <v>0</v>
      </c>
      <c r="V33" s="503">
        <v>0</v>
      </c>
      <c r="W33" s="564">
        <v>0</v>
      </c>
      <c r="X33" s="564">
        <v>0</v>
      </c>
      <c r="Y33" s="504">
        <v>0</v>
      </c>
      <c r="Z33" s="503">
        <v>0</v>
      </c>
      <c r="AA33" s="564">
        <v>0</v>
      </c>
      <c r="AB33" s="564">
        <v>0</v>
      </c>
      <c r="AC33" s="504">
        <v>0</v>
      </c>
      <c r="AD33" s="503">
        <v>0</v>
      </c>
      <c r="AE33" s="564">
        <v>0</v>
      </c>
      <c r="AF33" s="564">
        <v>0</v>
      </c>
      <c r="AG33" s="504">
        <v>0</v>
      </c>
      <c r="AH33" s="503">
        <v>0</v>
      </c>
      <c r="AI33" s="564">
        <v>0</v>
      </c>
      <c r="AJ33" s="564">
        <v>0</v>
      </c>
      <c r="AK33" s="504">
        <v>0</v>
      </c>
      <c r="AL33" s="573"/>
      <c r="AN33" s="572"/>
      <c r="AO33" s="477" t="s">
        <v>334</v>
      </c>
      <c r="AP33" s="478"/>
      <c r="AQ33" s="478"/>
      <c r="AR33" s="478"/>
      <c r="AS33" s="478"/>
      <c r="AT33" s="479"/>
      <c r="AU33" s="531">
        <f t="shared" si="18"/>
        <v>0</v>
      </c>
      <c r="AV33" s="503">
        <f t="shared" si="19"/>
        <v>0</v>
      </c>
      <c r="AW33" s="564">
        <f t="shared" si="19"/>
        <v>0</v>
      </c>
      <c r="AX33" s="564">
        <f t="shared" si="19"/>
        <v>0</v>
      </c>
      <c r="AY33" s="504">
        <f t="shared" si="19"/>
        <v>0</v>
      </c>
      <c r="AZ33" s="503">
        <f t="shared" si="19"/>
        <v>0</v>
      </c>
      <c r="BA33" s="564">
        <f t="shared" si="19"/>
        <v>0</v>
      </c>
      <c r="BB33" s="564">
        <f t="shared" si="19"/>
        <v>0</v>
      </c>
      <c r="BC33" s="504">
        <f t="shared" si="19"/>
        <v>0</v>
      </c>
      <c r="BD33" s="503">
        <f t="shared" si="19"/>
        <v>0</v>
      </c>
      <c r="BE33" s="564">
        <f t="shared" si="19"/>
        <v>0</v>
      </c>
      <c r="BF33" s="564">
        <f t="shared" si="20"/>
        <v>0</v>
      </c>
      <c r="BG33" s="504">
        <f t="shared" si="20"/>
        <v>0</v>
      </c>
      <c r="BH33" s="503">
        <f t="shared" si="20"/>
        <v>0</v>
      </c>
      <c r="BI33" s="564">
        <f t="shared" si="20"/>
        <v>0</v>
      </c>
      <c r="BJ33" s="564">
        <f t="shared" si="20"/>
        <v>0</v>
      </c>
      <c r="BK33" s="504">
        <f t="shared" si="20"/>
        <v>0</v>
      </c>
      <c r="BL33" s="503">
        <f t="shared" si="20"/>
        <v>0</v>
      </c>
      <c r="BM33" s="564">
        <f t="shared" si="20"/>
        <v>0</v>
      </c>
      <c r="BN33" s="564">
        <f t="shared" si="20"/>
        <v>0</v>
      </c>
      <c r="BO33" s="504">
        <f t="shared" si="20"/>
        <v>0</v>
      </c>
      <c r="BP33" s="503">
        <f t="shared" si="21"/>
        <v>0</v>
      </c>
      <c r="BQ33" s="564">
        <f t="shared" si="21"/>
        <v>0</v>
      </c>
      <c r="BR33" s="564">
        <f t="shared" si="21"/>
        <v>0</v>
      </c>
      <c r="BS33" s="504">
        <f t="shared" si="21"/>
        <v>0</v>
      </c>
      <c r="BT33" s="573"/>
    </row>
    <row r="34" spans="4:72">
      <c r="D34" s="572"/>
      <c r="E34" s="477" t="s">
        <v>335</v>
      </c>
      <c r="F34" s="478"/>
      <c r="G34" s="478"/>
      <c r="H34" s="478"/>
      <c r="I34" s="478"/>
      <c r="J34" s="479"/>
      <c r="K34" s="531">
        <f>EARTeamReviewAlts!K33</f>
        <v>0</v>
      </c>
      <c r="L34" s="531">
        <f>EARTeamReviewAlts!L33</f>
        <v>0.16666666666666666</v>
      </c>
      <c r="M34" s="531">
        <f>EARTeamReviewAlts!M33</f>
        <v>0.2</v>
      </c>
      <c r="N34" s="503">
        <v>0</v>
      </c>
      <c r="O34" s="564">
        <v>0</v>
      </c>
      <c r="P34" s="564">
        <v>0</v>
      </c>
      <c r="Q34" s="504">
        <v>0</v>
      </c>
      <c r="R34" s="503">
        <v>0</v>
      </c>
      <c r="S34" s="564">
        <v>0</v>
      </c>
      <c r="T34" s="564">
        <v>0</v>
      </c>
      <c r="U34" s="504">
        <v>0</v>
      </c>
      <c r="V34" s="503">
        <v>0</v>
      </c>
      <c r="W34" s="564">
        <v>0</v>
      </c>
      <c r="X34" s="564">
        <v>0</v>
      </c>
      <c r="Y34" s="504">
        <v>0</v>
      </c>
      <c r="Z34" s="503">
        <v>0</v>
      </c>
      <c r="AA34" s="564">
        <v>0</v>
      </c>
      <c r="AB34" s="564">
        <v>0</v>
      </c>
      <c r="AC34" s="504">
        <v>0</v>
      </c>
      <c r="AD34" s="503">
        <v>0</v>
      </c>
      <c r="AE34" s="564">
        <v>0</v>
      </c>
      <c r="AF34" s="564">
        <v>0</v>
      </c>
      <c r="AG34" s="504">
        <v>0</v>
      </c>
      <c r="AH34" s="503">
        <v>0</v>
      </c>
      <c r="AI34" s="564">
        <v>0</v>
      </c>
      <c r="AJ34" s="564">
        <v>0</v>
      </c>
      <c r="AK34" s="504">
        <v>0</v>
      </c>
      <c r="AL34" s="573"/>
      <c r="AN34" s="572"/>
      <c r="AO34" s="477" t="s">
        <v>335</v>
      </c>
      <c r="AP34" s="478"/>
      <c r="AQ34" s="478"/>
      <c r="AR34" s="478"/>
      <c r="AS34" s="478"/>
      <c r="AT34" s="479"/>
      <c r="AU34" s="531">
        <f t="shared" si="18"/>
        <v>0</v>
      </c>
      <c r="AV34" s="503">
        <v>0</v>
      </c>
      <c r="AW34" s="564">
        <v>0</v>
      </c>
      <c r="AX34" s="564">
        <v>0</v>
      </c>
      <c r="AY34" s="504">
        <v>0</v>
      </c>
      <c r="AZ34" s="503">
        <v>0</v>
      </c>
      <c r="BA34" s="564">
        <v>0</v>
      </c>
      <c r="BB34" s="564">
        <v>0</v>
      </c>
      <c r="BC34" s="504">
        <v>0</v>
      </c>
      <c r="BD34" s="503">
        <v>0</v>
      </c>
      <c r="BE34" s="564">
        <v>0</v>
      </c>
      <c r="BF34" s="564">
        <v>0</v>
      </c>
      <c r="BG34" s="504">
        <v>0</v>
      </c>
      <c r="BH34" s="503">
        <v>0</v>
      </c>
      <c r="BI34" s="564">
        <v>0</v>
      </c>
      <c r="BJ34" s="564">
        <v>0</v>
      </c>
      <c r="BK34" s="504">
        <v>0</v>
      </c>
      <c r="BL34" s="503">
        <v>0</v>
      </c>
      <c r="BM34" s="564">
        <v>0</v>
      </c>
      <c r="BN34" s="564">
        <v>0</v>
      </c>
      <c r="BO34" s="504">
        <v>0</v>
      </c>
      <c r="BP34" s="503">
        <v>0</v>
      </c>
      <c r="BQ34" s="564">
        <v>0</v>
      </c>
      <c r="BR34" s="564">
        <v>0</v>
      </c>
      <c r="BS34" s="504">
        <v>0</v>
      </c>
      <c r="BT34" s="573"/>
    </row>
    <row r="35" spans="4:72">
      <c r="D35" s="572"/>
      <c r="E35" s="477" t="s">
        <v>336</v>
      </c>
      <c r="F35" s="478"/>
      <c r="G35" s="478"/>
      <c r="H35" s="478"/>
      <c r="I35" s="478"/>
      <c r="J35" s="479"/>
      <c r="K35" s="531">
        <f>EARTeamReviewAlts!K34</f>
        <v>0</v>
      </c>
      <c r="L35" s="531">
        <f>EARTeamReviewAlts!L34</f>
        <v>0.16666666666666666</v>
      </c>
      <c r="M35" s="531">
        <f>EARTeamReviewAlts!M34</f>
        <v>0.1</v>
      </c>
      <c r="N35" s="561">
        <f t="shared" ref="N35:AK35" si="22">VLOOKUP(N$31&amp;N$27&amp;N$28,t.MFAMCommonUESSummary,N$54,FALSE)</f>
        <v>600.59840432700685</v>
      </c>
      <c r="O35" s="562">
        <f t="shared" si="22"/>
        <v>1314.6769334864923</v>
      </c>
      <c r="P35" s="562">
        <f t="shared" si="22"/>
        <v>713.11282917128483</v>
      </c>
      <c r="Q35" s="563">
        <f t="shared" si="22"/>
        <v>464.14750560833329</v>
      </c>
      <c r="R35" s="561">
        <f t="shared" si="22"/>
        <v>450.44880324525519</v>
      </c>
      <c r="S35" s="562">
        <f t="shared" si="22"/>
        <v>986.00770011486929</v>
      </c>
      <c r="T35" s="562">
        <f t="shared" si="22"/>
        <v>534.83462187846362</v>
      </c>
      <c r="U35" s="563">
        <f t="shared" si="22"/>
        <v>348.11062920624994</v>
      </c>
      <c r="V35" s="561">
        <f t="shared" si="22"/>
        <v>300.29920216350342</v>
      </c>
      <c r="W35" s="562">
        <f t="shared" si="22"/>
        <v>657.33846674324616</v>
      </c>
      <c r="X35" s="562">
        <f t="shared" si="22"/>
        <v>356.55641458564241</v>
      </c>
      <c r="Y35" s="563">
        <f t="shared" si="22"/>
        <v>232.07375280416665</v>
      </c>
      <c r="Z35" s="561">
        <f t="shared" si="22"/>
        <v>87.552457422668127</v>
      </c>
      <c r="AA35" s="562">
        <f t="shared" si="22"/>
        <v>338.68577631122616</v>
      </c>
      <c r="AB35" s="562">
        <f t="shared" si="22"/>
        <v>128.16453584772836</v>
      </c>
      <c r="AC35" s="563">
        <f t="shared" si="22"/>
        <v>39.184817726815766</v>
      </c>
      <c r="AD35" s="561">
        <f t="shared" si="22"/>
        <v>65.664343067001099</v>
      </c>
      <c r="AE35" s="562">
        <f t="shared" si="22"/>
        <v>254.01433223341965</v>
      </c>
      <c r="AF35" s="562">
        <f t="shared" si="22"/>
        <v>96.12340188579627</v>
      </c>
      <c r="AG35" s="563">
        <f t="shared" si="22"/>
        <v>29.388613295111824</v>
      </c>
      <c r="AH35" s="561">
        <f t="shared" si="22"/>
        <v>43.776228711334063</v>
      </c>
      <c r="AI35" s="562">
        <f t="shared" si="22"/>
        <v>169.34288815561308</v>
      </c>
      <c r="AJ35" s="562">
        <f t="shared" si="22"/>
        <v>64.08226792386418</v>
      </c>
      <c r="AK35" s="563">
        <f t="shared" si="22"/>
        <v>19.592408863407883</v>
      </c>
      <c r="AL35" s="573"/>
      <c r="AN35" s="572"/>
      <c r="AO35" s="477" t="s">
        <v>336</v>
      </c>
      <c r="AP35" s="478"/>
      <c r="AQ35" s="478"/>
      <c r="AR35" s="478"/>
      <c r="AS35" s="478"/>
      <c r="AT35" s="479"/>
      <c r="AU35" s="531">
        <f t="shared" si="18"/>
        <v>0</v>
      </c>
      <c r="AV35" s="503">
        <v>0</v>
      </c>
      <c r="AW35" s="564">
        <v>0</v>
      </c>
      <c r="AX35" s="564">
        <v>0</v>
      </c>
      <c r="AY35" s="504">
        <v>0</v>
      </c>
      <c r="AZ35" s="503">
        <v>0</v>
      </c>
      <c r="BA35" s="564">
        <v>0</v>
      </c>
      <c r="BB35" s="564">
        <v>0</v>
      </c>
      <c r="BC35" s="504">
        <v>0</v>
      </c>
      <c r="BD35" s="503">
        <v>0</v>
      </c>
      <c r="BE35" s="564">
        <v>0</v>
      </c>
      <c r="BF35" s="564">
        <v>0</v>
      </c>
      <c r="BG35" s="504">
        <v>0</v>
      </c>
      <c r="BH35" s="503">
        <v>0</v>
      </c>
      <c r="BI35" s="564">
        <v>0</v>
      </c>
      <c r="BJ35" s="564">
        <v>0</v>
      </c>
      <c r="BK35" s="504">
        <v>0</v>
      </c>
      <c r="BL35" s="503">
        <v>0</v>
      </c>
      <c r="BM35" s="564">
        <v>0</v>
      </c>
      <c r="BN35" s="564">
        <v>0</v>
      </c>
      <c r="BO35" s="504">
        <v>0</v>
      </c>
      <c r="BP35" s="503">
        <v>0</v>
      </c>
      <c r="BQ35" s="564">
        <v>0</v>
      </c>
      <c r="BR35" s="564">
        <v>0</v>
      </c>
      <c r="BS35" s="504">
        <v>0</v>
      </c>
      <c r="BT35" s="573"/>
    </row>
    <row r="36" spans="4:72">
      <c r="D36" s="572"/>
      <c r="E36" s="875" t="s">
        <v>343</v>
      </c>
      <c r="F36" s="480" t="s">
        <v>337</v>
      </c>
      <c r="G36" s="480"/>
      <c r="H36" s="480"/>
      <c r="I36" s="480"/>
      <c r="J36" s="481"/>
      <c r="K36" s="533">
        <f>EARTeamReviewAlts!K35</f>
        <v>0.25</v>
      </c>
      <c r="L36" s="533">
        <f>EARTeamReviewAlts!L35</f>
        <v>0.16666666666666666</v>
      </c>
      <c r="M36" s="533">
        <f>EARTeamReviewAlts!M35</f>
        <v>0.17</v>
      </c>
      <c r="N36" s="537">
        <v>0</v>
      </c>
      <c r="O36" s="565">
        <v>0</v>
      </c>
      <c r="P36" s="565">
        <v>0</v>
      </c>
      <c r="Q36" s="505">
        <v>0</v>
      </c>
      <c r="R36" s="537">
        <v>0</v>
      </c>
      <c r="S36" s="565">
        <v>0</v>
      </c>
      <c r="T36" s="565">
        <v>0</v>
      </c>
      <c r="U36" s="505">
        <v>0</v>
      </c>
      <c r="V36" s="537">
        <v>0</v>
      </c>
      <c r="W36" s="565">
        <v>0</v>
      </c>
      <c r="X36" s="565">
        <v>0</v>
      </c>
      <c r="Y36" s="505">
        <v>0</v>
      </c>
      <c r="Z36" s="537">
        <v>0</v>
      </c>
      <c r="AA36" s="565">
        <v>0</v>
      </c>
      <c r="AB36" s="565">
        <v>0</v>
      </c>
      <c r="AC36" s="505">
        <v>0</v>
      </c>
      <c r="AD36" s="537">
        <v>0</v>
      </c>
      <c r="AE36" s="565">
        <v>0</v>
      </c>
      <c r="AF36" s="565">
        <v>0</v>
      </c>
      <c r="AG36" s="505">
        <v>0</v>
      </c>
      <c r="AH36" s="537">
        <v>0</v>
      </c>
      <c r="AI36" s="565">
        <v>0</v>
      </c>
      <c r="AJ36" s="565">
        <v>0</v>
      </c>
      <c r="AK36" s="505">
        <v>0</v>
      </c>
      <c r="AL36" s="573"/>
      <c r="AN36" s="572"/>
      <c r="AO36" s="875" t="s">
        <v>343</v>
      </c>
      <c r="AP36" s="480" t="s">
        <v>337</v>
      </c>
      <c r="AQ36" s="480"/>
      <c r="AR36" s="480"/>
      <c r="AS36" s="480"/>
      <c r="AT36" s="481"/>
      <c r="AU36" s="533">
        <f t="shared" si="18"/>
        <v>0.25</v>
      </c>
      <c r="AV36" s="537">
        <f t="shared" ref="AV36:BE40" si="23">N36</f>
        <v>0</v>
      </c>
      <c r="AW36" s="565">
        <f t="shared" si="23"/>
        <v>0</v>
      </c>
      <c r="AX36" s="565">
        <f t="shared" si="23"/>
        <v>0</v>
      </c>
      <c r="AY36" s="505">
        <f t="shared" si="23"/>
        <v>0</v>
      </c>
      <c r="AZ36" s="537">
        <f t="shared" si="23"/>
        <v>0</v>
      </c>
      <c r="BA36" s="565">
        <f t="shared" si="23"/>
        <v>0</v>
      </c>
      <c r="BB36" s="565">
        <f t="shared" si="23"/>
        <v>0</v>
      </c>
      <c r="BC36" s="505">
        <f t="shared" si="23"/>
        <v>0</v>
      </c>
      <c r="BD36" s="537">
        <f t="shared" si="23"/>
        <v>0</v>
      </c>
      <c r="BE36" s="565">
        <f t="shared" si="23"/>
        <v>0</v>
      </c>
      <c r="BF36" s="565">
        <f t="shared" ref="BF36:BO40" si="24">X36</f>
        <v>0</v>
      </c>
      <c r="BG36" s="505">
        <f t="shared" si="24"/>
        <v>0</v>
      </c>
      <c r="BH36" s="537">
        <f t="shared" si="24"/>
        <v>0</v>
      </c>
      <c r="BI36" s="565">
        <f t="shared" si="24"/>
        <v>0</v>
      </c>
      <c r="BJ36" s="565">
        <f t="shared" si="24"/>
        <v>0</v>
      </c>
      <c r="BK36" s="505">
        <f t="shared" si="24"/>
        <v>0</v>
      </c>
      <c r="BL36" s="537">
        <f t="shared" si="24"/>
        <v>0</v>
      </c>
      <c r="BM36" s="565">
        <f t="shared" si="24"/>
        <v>0</v>
      </c>
      <c r="BN36" s="565">
        <f t="shared" si="24"/>
        <v>0</v>
      </c>
      <c r="BO36" s="505">
        <f t="shared" si="24"/>
        <v>0</v>
      </c>
      <c r="BP36" s="537">
        <f t="shared" ref="BP36:BS40" si="25">AH36</f>
        <v>0</v>
      </c>
      <c r="BQ36" s="565">
        <f t="shared" si="25"/>
        <v>0</v>
      </c>
      <c r="BR36" s="565">
        <f t="shared" si="25"/>
        <v>0</v>
      </c>
      <c r="BS36" s="505">
        <f t="shared" si="25"/>
        <v>0</v>
      </c>
      <c r="BT36" s="573"/>
    </row>
    <row r="37" spans="4:72">
      <c r="D37" s="572"/>
      <c r="E37" s="876"/>
      <c r="F37" s="483" t="s">
        <v>338</v>
      </c>
      <c r="G37" s="483"/>
      <c r="H37" s="483"/>
      <c r="I37" s="483"/>
      <c r="J37" s="484"/>
      <c r="K37" s="534">
        <f>EARTeamReviewAlts!K36</f>
        <v>0.25</v>
      </c>
      <c r="L37" s="534">
        <f>EARTeamReviewAlts!L36</f>
        <v>0.16666666666666666</v>
      </c>
      <c r="M37" s="534">
        <f>EARTeamReviewAlts!M36</f>
        <v>0.25</v>
      </c>
      <c r="N37" s="566">
        <f t="shared" ref="N37:AK37" si="26">VLOOKUP(N$31&amp;N$27&amp;N$28,t.MFAMCommonUESSummary,N$54,FALSE)</f>
        <v>600.59840432700685</v>
      </c>
      <c r="O37" s="567">
        <f t="shared" si="26"/>
        <v>1314.6769334864923</v>
      </c>
      <c r="P37" s="567">
        <f t="shared" si="26"/>
        <v>713.11282917128483</v>
      </c>
      <c r="Q37" s="568">
        <f t="shared" si="26"/>
        <v>464.14750560833329</v>
      </c>
      <c r="R37" s="566">
        <f t="shared" si="26"/>
        <v>450.44880324525519</v>
      </c>
      <c r="S37" s="567">
        <f t="shared" si="26"/>
        <v>986.00770011486929</v>
      </c>
      <c r="T37" s="567">
        <f t="shared" si="26"/>
        <v>534.83462187846362</v>
      </c>
      <c r="U37" s="568">
        <f t="shared" si="26"/>
        <v>348.11062920624994</v>
      </c>
      <c r="V37" s="566">
        <f t="shared" si="26"/>
        <v>300.29920216350342</v>
      </c>
      <c r="W37" s="567">
        <f t="shared" si="26"/>
        <v>657.33846674324616</v>
      </c>
      <c r="X37" s="567">
        <f t="shared" si="26"/>
        <v>356.55641458564241</v>
      </c>
      <c r="Y37" s="568">
        <f t="shared" si="26"/>
        <v>232.07375280416665</v>
      </c>
      <c r="Z37" s="566">
        <f t="shared" si="26"/>
        <v>87.552457422668127</v>
      </c>
      <c r="AA37" s="567">
        <f t="shared" si="26"/>
        <v>338.68577631122616</v>
      </c>
      <c r="AB37" s="567">
        <f t="shared" si="26"/>
        <v>128.16453584772836</v>
      </c>
      <c r="AC37" s="568">
        <f t="shared" si="26"/>
        <v>39.184817726815766</v>
      </c>
      <c r="AD37" s="566">
        <f t="shared" si="26"/>
        <v>65.664343067001099</v>
      </c>
      <c r="AE37" s="567">
        <f t="shared" si="26"/>
        <v>254.01433223341965</v>
      </c>
      <c r="AF37" s="567">
        <f t="shared" si="26"/>
        <v>96.12340188579627</v>
      </c>
      <c r="AG37" s="568">
        <f t="shared" si="26"/>
        <v>29.388613295111824</v>
      </c>
      <c r="AH37" s="566">
        <f t="shared" si="26"/>
        <v>43.776228711334063</v>
      </c>
      <c r="AI37" s="567">
        <f t="shared" si="26"/>
        <v>169.34288815561308</v>
      </c>
      <c r="AJ37" s="567">
        <f t="shared" si="26"/>
        <v>64.08226792386418</v>
      </c>
      <c r="AK37" s="568">
        <f t="shared" si="26"/>
        <v>19.592408863407883</v>
      </c>
      <c r="AL37" s="573"/>
      <c r="AN37" s="572"/>
      <c r="AO37" s="876"/>
      <c r="AP37" s="483" t="s">
        <v>338</v>
      </c>
      <c r="AQ37" s="483"/>
      <c r="AR37" s="483"/>
      <c r="AS37" s="483"/>
      <c r="AT37" s="484"/>
      <c r="AU37" s="534">
        <f t="shared" si="18"/>
        <v>0.25</v>
      </c>
      <c r="AV37" s="566">
        <f t="shared" si="23"/>
        <v>600.59840432700685</v>
      </c>
      <c r="AW37" s="567">
        <f t="shared" si="23"/>
        <v>1314.6769334864923</v>
      </c>
      <c r="AX37" s="567">
        <f t="shared" si="23"/>
        <v>713.11282917128483</v>
      </c>
      <c r="AY37" s="568">
        <f t="shared" si="23"/>
        <v>464.14750560833329</v>
      </c>
      <c r="AZ37" s="566">
        <f t="shared" si="23"/>
        <v>450.44880324525519</v>
      </c>
      <c r="BA37" s="567">
        <f t="shared" si="23"/>
        <v>986.00770011486929</v>
      </c>
      <c r="BB37" s="567">
        <f t="shared" si="23"/>
        <v>534.83462187846362</v>
      </c>
      <c r="BC37" s="568">
        <f t="shared" si="23"/>
        <v>348.11062920624994</v>
      </c>
      <c r="BD37" s="566">
        <f t="shared" si="23"/>
        <v>300.29920216350342</v>
      </c>
      <c r="BE37" s="567">
        <f t="shared" si="23"/>
        <v>657.33846674324616</v>
      </c>
      <c r="BF37" s="567">
        <f t="shared" si="24"/>
        <v>356.55641458564241</v>
      </c>
      <c r="BG37" s="568">
        <f t="shared" si="24"/>
        <v>232.07375280416665</v>
      </c>
      <c r="BH37" s="566">
        <f t="shared" si="24"/>
        <v>87.552457422668127</v>
      </c>
      <c r="BI37" s="567">
        <f t="shared" si="24"/>
        <v>338.68577631122616</v>
      </c>
      <c r="BJ37" s="567">
        <f t="shared" si="24"/>
        <v>128.16453584772836</v>
      </c>
      <c r="BK37" s="568">
        <f t="shared" si="24"/>
        <v>39.184817726815766</v>
      </c>
      <c r="BL37" s="566">
        <f t="shared" si="24"/>
        <v>65.664343067001099</v>
      </c>
      <c r="BM37" s="567">
        <f t="shared" si="24"/>
        <v>254.01433223341965</v>
      </c>
      <c r="BN37" s="567">
        <f t="shared" si="24"/>
        <v>96.12340188579627</v>
      </c>
      <c r="BO37" s="568">
        <f t="shared" si="24"/>
        <v>29.388613295111824</v>
      </c>
      <c r="BP37" s="566">
        <f t="shared" si="25"/>
        <v>43.776228711334063</v>
      </c>
      <c r="BQ37" s="567">
        <f t="shared" si="25"/>
        <v>169.34288815561308</v>
      </c>
      <c r="BR37" s="567">
        <f t="shared" si="25"/>
        <v>64.08226792386418</v>
      </c>
      <c r="BS37" s="568">
        <f t="shared" si="25"/>
        <v>19.592408863407883</v>
      </c>
      <c r="BT37" s="573"/>
    </row>
    <row r="38" spans="4:72">
      <c r="D38" s="572"/>
      <c r="E38" s="876"/>
      <c r="F38" s="878" t="s">
        <v>339</v>
      </c>
      <c r="G38" s="878"/>
      <c r="H38" s="482" t="s">
        <v>422</v>
      </c>
      <c r="I38" s="483"/>
      <c r="J38" s="484"/>
      <c r="K38" s="534">
        <f>EARTeamReviewAlts!K37</f>
        <v>0</v>
      </c>
      <c r="L38" s="534">
        <f>EARTeamReviewAlts!L37</f>
        <v>0.125</v>
      </c>
      <c r="M38" s="534">
        <f>EARTeamReviewAlts!M37</f>
        <v>0.04</v>
      </c>
      <c r="N38" s="539">
        <v>0</v>
      </c>
      <c r="O38" s="556">
        <v>0</v>
      </c>
      <c r="P38" s="556">
        <v>0</v>
      </c>
      <c r="Q38" s="557">
        <v>0</v>
      </c>
      <c r="R38" s="539">
        <v>0</v>
      </c>
      <c r="S38" s="556">
        <v>0</v>
      </c>
      <c r="T38" s="556">
        <v>0</v>
      </c>
      <c r="U38" s="557">
        <v>0</v>
      </c>
      <c r="V38" s="539">
        <v>0</v>
      </c>
      <c r="W38" s="556">
        <v>0</v>
      </c>
      <c r="X38" s="556">
        <v>0</v>
      </c>
      <c r="Y38" s="557">
        <v>0</v>
      </c>
      <c r="Z38" s="539">
        <v>0</v>
      </c>
      <c r="AA38" s="556">
        <v>0</v>
      </c>
      <c r="AB38" s="556">
        <v>0</v>
      </c>
      <c r="AC38" s="557">
        <v>0</v>
      </c>
      <c r="AD38" s="539">
        <v>0</v>
      </c>
      <c r="AE38" s="556">
        <v>0</v>
      </c>
      <c r="AF38" s="556">
        <v>0</v>
      </c>
      <c r="AG38" s="557">
        <v>0</v>
      </c>
      <c r="AH38" s="539">
        <v>0</v>
      </c>
      <c r="AI38" s="556">
        <v>0</v>
      </c>
      <c r="AJ38" s="556">
        <v>0</v>
      </c>
      <c r="AK38" s="557">
        <v>0</v>
      </c>
      <c r="AL38" s="573"/>
      <c r="AN38" s="572"/>
      <c r="AO38" s="876"/>
      <c r="AP38" s="878" t="s">
        <v>339</v>
      </c>
      <c r="AQ38" s="878"/>
      <c r="AR38" s="482" t="s">
        <v>422</v>
      </c>
      <c r="AS38" s="483"/>
      <c r="AT38" s="484"/>
      <c r="AU38" s="534">
        <f t="shared" si="18"/>
        <v>0</v>
      </c>
      <c r="AV38" s="539">
        <f t="shared" si="23"/>
        <v>0</v>
      </c>
      <c r="AW38" s="556">
        <f t="shared" si="23"/>
        <v>0</v>
      </c>
      <c r="AX38" s="556">
        <f t="shared" si="23"/>
        <v>0</v>
      </c>
      <c r="AY38" s="557">
        <f t="shared" si="23"/>
        <v>0</v>
      </c>
      <c r="AZ38" s="539">
        <f t="shared" si="23"/>
        <v>0</v>
      </c>
      <c r="BA38" s="556">
        <f t="shared" si="23"/>
        <v>0</v>
      </c>
      <c r="BB38" s="556">
        <f t="shared" si="23"/>
        <v>0</v>
      </c>
      <c r="BC38" s="557">
        <f t="shared" si="23"/>
        <v>0</v>
      </c>
      <c r="BD38" s="539">
        <f t="shared" si="23"/>
        <v>0</v>
      </c>
      <c r="BE38" s="556">
        <f t="shared" si="23"/>
        <v>0</v>
      </c>
      <c r="BF38" s="556">
        <f t="shared" si="24"/>
        <v>0</v>
      </c>
      <c r="BG38" s="557">
        <f t="shared" si="24"/>
        <v>0</v>
      </c>
      <c r="BH38" s="539">
        <f t="shared" si="24"/>
        <v>0</v>
      </c>
      <c r="BI38" s="556">
        <f t="shared" si="24"/>
        <v>0</v>
      </c>
      <c r="BJ38" s="556">
        <f t="shared" si="24"/>
        <v>0</v>
      </c>
      <c r="BK38" s="557">
        <f t="shared" si="24"/>
        <v>0</v>
      </c>
      <c r="BL38" s="539">
        <f t="shared" si="24"/>
        <v>0</v>
      </c>
      <c r="BM38" s="556">
        <f t="shared" si="24"/>
        <v>0</v>
      </c>
      <c r="BN38" s="556">
        <f t="shared" si="24"/>
        <v>0</v>
      </c>
      <c r="BO38" s="557">
        <f t="shared" si="24"/>
        <v>0</v>
      </c>
      <c r="BP38" s="539">
        <f t="shared" si="25"/>
        <v>0</v>
      </c>
      <c r="BQ38" s="556">
        <f t="shared" si="25"/>
        <v>0</v>
      </c>
      <c r="BR38" s="556">
        <f t="shared" si="25"/>
        <v>0</v>
      </c>
      <c r="BS38" s="557">
        <f t="shared" si="25"/>
        <v>0</v>
      </c>
      <c r="BT38" s="573"/>
    </row>
    <row r="39" spans="4:72">
      <c r="D39" s="572"/>
      <c r="E39" s="877"/>
      <c r="F39" s="878"/>
      <c r="G39" s="878"/>
      <c r="H39" s="485" t="s">
        <v>340</v>
      </c>
      <c r="I39" s="486"/>
      <c r="J39" s="487"/>
      <c r="K39" s="535">
        <f>EARTeamReviewAlts!K38</f>
        <v>0.5</v>
      </c>
      <c r="L39" s="535">
        <f>EARTeamReviewAlts!L38</f>
        <v>4.1666666666666664E-2</v>
      </c>
      <c r="M39" s="535">
        <f>EARTeamReviewAlts!M38</f>
        <v>4.1666666666666664E-2</v>
      </c>
      <c r="N39" s="561">
        <f t="shared" ref="N39:AK39" si="27">VLOOKUP(N$31&amp;N$27&amp;"NoRepl",t.MFAMCommonUESSummary,N$54,FALSE)</f>
        <v>1517.2185920446818</v>
      </c>
      <c r="O39" s="559">
        <f t="shared" si="27"/>
        <v>2783.7316553084192</v>
      </c>
      <c r="P39" s="559">
        <f t="shared" si="27"/>
        <v>1678.5815007834487</v>
      </c>
      <c r="Q39" s="560">
        <f t="shared" si="27"/>
        <v>1213.6942602984848</v>
      </c>
      <c r="R39" s="558">
        <f t="shared" si="27"/>
        <v>1137.9139440335114</v>
      </c>
      <c r="S39" s="559">
        <f t="shared" si="27"/>
        <v>2087.7987414813147</v>
      </c>
      <c r="T39" s="559">
        <f t="shared" si="27"/>
        <v>1258.9361255875865</v>
      </c>
      <c r="U39" s="560">
        <f t="shared" si="27"/>
        <v>910.27069522386353</v>
      </c>
      <c r="V39" s="558">
        <f t="shared" si="27"/>
        <v>758.60929602234091</v>
      </c>
      <c r="W39" s="559">
        <f t="shared" si="27"/>
        <v>1391.8658276542096</v>
      </c>
      <c r="X39" s="559">
        <f t="shared" si="27"/>
        <v>839.29075039172437</v>
      </c>
      <c r="Y39" s="560">
        <f t="shared" si="27"/>
        <v>606.84713014924239</v>
      </c>
      <c r="Z39" s="558">
        <f t="shared" si="27"/>
        <v>1517.2185920446818</v>
      </c>
      <c r="AA39" s="559">
        <f t="shared" si="27"/>
        <v>2783.7316553084192</v>
      </c>
      <c r="AB39" s="559">
        <f t="shared" si="27"/>
        <v>1678.5815007834487</v>
      </c>
      <c r="AC39" s="560">
        <f t="shared" si="27"/>
        <v>1213.6942602984848</v>
      </c>
      <c r="AD39" s="558">
        <f t="shared" si="27"/>
        <v>1137.9139440335114</v>
      </c>
      <c r="AE39" s="559">
        <f t="shared" si="27"/>
        <v>2087.7987414813147</v>
      </c>
      <c r="AF39" s="559">
        <f t="shared" si="27"/>
        <v>1258.9361255875865</v>
      </c>
      <c r="AG39" s="560">
        <f t="shared" si="27"/>
        <v>910.27069522386353</v>
      </c>
      <c r="AH39" s="558">
        <f t="shared" si="27"/>
        <v>758.60929602234091</v>
      </c>
      <c r="AI39" s="559">
        <f t="shared" si="27"/>
        <v>1391.8658276542096</v>
      </c>
      <c r="AJ39" s="559">
        <f t="shared" si="27"/>
        <v>839.29075039172437</v>
      </c>
      <c r="AK39" s="560">
        <f t="shared" si="27"/>
        <v>606.84713014924239</v>
      </c>
      <c r="AL39" s="573"/>
      <c r="AN39" s="572"/>
      <c r="AO39" s="877"/>
      <c r="AP39" s="878"/>
      <c r="AQ39" s="878"/>
      <c r="AR39" s="485" t="s">
        <v>340</v>
      </c>
      <c r="AS39" s="486"/>
      <c r="AT39" s="487"/>
      <c r="AU39" s="535">
        <f t="shared" si="18"/>
        <v>0.5</v>
      </c>
      <c r="AV39" s="561">
        <f t="shared" si="23"/>
        <v>1517.2185920446818</v>
      </c>
      <c r="AW39" s="559">
        <f t="shared" si="23"/>
        <v>2783.7316553084192</v>
      </c>
      <c r="AX39" s="559">
        <f t="shared" si="23"/>
        <v>1678.5815007834487</v>
      </c>
      <c r="AY39" s="560">
        <f t="shared" si="23"/>
        <v>1213.6942602984848</v>
      </c>
      <c r="AZ39" s="558">
        <f t="shared" si="23"/>
        <v>1137.9139440335114</v>
      </c>
      <c r="BA39" s="559">
        <f t="shared" si="23"/>
        <v>2087.7987414813147</v>
      </c>
      <c r="BB39" s="559">
        <f t="shared" si="23"/>
        <v>1258.9361255875865</v>
      </c>
      <c r="BC39" s="560">
        <f t="shared" si="23"/>
        <v>910.27069522386353</v>
      </c>
      <c r="BD39" s="558">
        <f t="shared" si="23"/>
        <v>758.60929602234091</v>
      </c>
      <c r="BE39" s="559">
        <f t="shared" si="23"/>
        <v>1391.8658276542096</v>
      </c>
      <c r="BF39" s="559">
        <f t="shared" si="24"/>
        <v>839.29075039172437</v>
      </c>
      <c r="BG39" s="560">
        <f t="shared" si="24"/>
        <v>606.84713014924239</v>
      </c>
      <c r="BH39" s="558">
        <f t="shared" si="24"/>
        <v>1517.2185920446818</v>
      </c>
      <c r="BI39" s="559">
        <f t="shared" si="24"/>
        <v>2783.7316553084192</v>
      </c>
      <c r="BJ39" s="559">
        <f t="shared" si="24"/>
        <v>1678.5815007834487</v>
      </c>
      <c r="BK39" s="560">
        <f t="shared" si="24"/>
        <v>1213.6942602984848</v>
      </c>
      <c r="BL39" s="558">
        <f t="shared" si="24"/>
        <v>1137.9139440335114</v>
      </c>
      <c r="BM39" s="559">
        <f t="shared" si="24"/>
        <v>2087.7987414813147</v>
      </c>
      <c r="BN39" s="559">
        <f t="shared" si="24"/>
        <v>1258.9361255875865</v>
      </c>
      <c r="BO39" s="560">
        <f t="shared" si="24"/>
        <v>910.27069522386353</v>
      </c>
      <c r="BP39" s="558">
        <f t="shared" si="25"/>
        <v>758.60929602234091</v>
      </c>
      <c r="BQ39" s="559">
        <f t="shared" si="25"/>
        <v>1391.8658276542096</v>
      </c>
      <c r="BR39" s="559">
        <f t="shared" si="25"/>
        <v>839.29075039172437</v>
      </c>
      <c r="BS39" s="560">
        <f t="shared" si="25"/>
        <v>606.84713014924239</v>
      </c>
      <c r="BT39" s="573"/>
    </row>
    <row r="40" spans="4:72" ht="15" thickBot="1">
      <c r="D40" s="572"/>
      <c r="E40" s="666" t="s">
        <v>346</v>
      </c>
      <c r="F40" s="667"/>
      <c r="G40" s="667"/>
      <c r="H40" s="667"/>
      <c r="I40" s="667"/>
      <c r="J40" s="668"/>
      <c r="K40" s="669">
        <f>EARTeamReviewAlts!K39</f>
        <v>0</v>
      </c>
      <c r="L40" s="669">
        <f>EARTeamReviewAlts!L39</f>
        <v>0.16666666666666666</v>
      </c>
      <c r="M40" s="669">
        <f>EARTeamReviewAlts!M39</f>
        <v>0.2</v>
      </c>
      <c r="N40" s="503">
        <v>0</v>
      </c>
      <c r="O40" s="564">
        <v>0</v>
      </c>
      <c r="P40" s="564">
        <v>0</v>
      </c>
      <c r="Q40" s="504">
        <v>0</v>
      </c>
      <c r="R40" s="503">
        <v>0</v>
      </c>
      <c r="S40" s="564">
        <v>0</v>
      </c>
      <c r="T40" s="564">
        <v>0</v>
      </c>
      <c r="U40" s="504">
        <v>0</v>
      </c>
      <c r="V40" s="503">
        <v>0</v>
      </c>
      <c r="W40" s="564">
        <v>0</v>
      </c>
      <c r="X40" s="564">
        <v>0</v>
      </c>
      <c r="Y40" s="504">
        <v>0</v>
      </c>
      <c r="Z40" s="503">
        <v>0</v>
      </c>
      <c r="AA40" s="564">
        <v>0</v>
      </c>
      <c r="AB40" s="564">
        <v>0</v>
      </c>
      <c r="AC40" s="504">
        <v>0</v>
      </c>
      <c r="AD40" s="503">
        <v>0</v>
      </c>
      <c r="AE40" s="564">
        <v>0</v>
      </c>
      <c r="AF40" s="564">
        <v>0</v>
      </c>
      <c r="AG40" s="504">
        <v>0</v>
      </c>
      <c r="AH40" s="503">
        <v>0</v>
      </c>
      <c r="AI40" s="564">
        <v>0</v>
      </c>
      <c r="AJ40" s="564">
        <v>0</v>
      </c>
      <c r="AK40" s="504">
        <v>0</v>
      </c>
      <c r="AL40" s="573"/>
      <c r="AN40" s="572"/>
      <c r="AO40" s="477" t="s">
        <v>346</v>
      </c>
      <c r="AP40" s="478"/>
      <c r="AQ40" s="478"/>
      <c r="AR40" s="478"/>
      <c r="AS40" s="478"/>
      <c r="AT40" s="479"/>
      <c r="AU40" s="532">
        <f t="shared" si="18"/>
        <v>0</v>
      </c>
      <c r="AV40" s="503">
        <f t="shared" si="23"/>
        <v>0</v>
      </c>
      <c r="AW40" s="564">
        <f t="shared" si="23"/>
        <v>0</v>
      </c>
      <c r="AX40" s="564">
        <f t="shared" si="23"/>
        <v>0</v>
      </c>
      <c r="AY40" s="504">
        <f t="shared" si="23"/>
        <v>0</v>
      </c>
      <c r="AZ40" s="503">
        <f t="shared" si="23"/>
        <v>0</v>
      </c>
      <c r="BA40" s="564">
        <f t="shared" si="23"/>
        <v>0</v>
      </c>
      <c r="BB40" s="564">
        <f t="shared" si="23"/>
        <v>0</v>
      </c>
      <c r="BC40" s="504">
        <f t="shared" si="23"/>
        <v>0</v>
      </c>
      <c r="BD40" s="503">
        <f t="shared" si="23"/>
        <v>0</v>
      </c>
      <c r="BE40" s="564">
        <f t="shared" si="23"/>
        <v>0</v>
      </c>
      <c r="BF40" s="564">
        <f t="shared" si="24"/>
        <v>0</v>
      </c>
      <c r="BG40" s="504">
        <f t="shared" si="24"/>
        <v>0</v>
      </c>
      <c r="BH40" s="503">
        <f t="shared" si="24"/>
        <v>0</v>
      </c>
      <c r="BI40" s="564">
        <f t="shared" si="24"/>
        <v>0</v>
      </c>
      <c r="BJ40" s="564">
        <f t="shared" si="24"/>
        <v>0</v>
      </c>
      <c r="BK40" s="504">
        <f t="shared" si="24"/>
        <v>0</v>
      </c>
      <c r="BL40" s="503">
        <f t="shared" si="24"/>
        <v>0</v>
      </c>
      <c r="BM40" s="564">
        <f t="shared" si="24"/>
        <v>0</v>
      </c>
      <c r="BN40" s="564">
        <f t="shared" si="24"/>
        <v>0</v>
      </c>
      <c r="BO40" s="504">
        <f t="shared" si="24"/>
        <v>0</v>
      </c>
      <c r="BP40" s="503">
        <f t="shared" si="25"/>
        <v>0</v>
      </c>
      <c r="BQ40" s="564">
        <f t="shared" si="25"/>
        <v>0</v>
      </c>
      <c r="BR40" s="564">
        <f t="shared" si="25"/>
        <v>0</v>
      </c>
      <c r="BS40" s="504">
        <f t="shared" si="25"/>
        <v>0</v>
      </c>
      <c r="BT40" s="573"/>
    </row>
    <row r="41" spans="4:72" ht="15.75" customHeight="1" thickTop="1">
      <c r="D41" s="572"/>
      <c r="E41" s="14"/>
      <c r="F41" s="14"/>
      <c r="G41" s="14"/>
      <c r="H41" s="14"/>
      <c r="I41" s="14"/>
      <c r="J41" s="14"/>
      <c r="K41" s="859" t="s">
        <v>463</v>
      </c>
      <c r="L41" s="860"/>
      <c r="M41" s="673" t="s">
        <v>464</v>
      </c>
      <c r="N41" s="674">
        <f t="shared" ref="N41:AK41" si="28">SUMPRODUCT($K32:$K40,N32:N40)</f>
        <v>908.75889710409263</v>
      </c>
      <c r="O41" s="675">
        <f t="shared" si="28"/>
        <v>1720.5350610258326</v>
      </c>
      <c r="P41" s="675">
        <f t="shared" si="28"/>
        <v>1017.5689576845456</v>
      </c>
      <c r="Q41" s="676">
        <f t="shared" si="28"/>
        <v>722.88400655132568</v>
      </c>
      <c r="R41" s="674">
        <f t="shared" si="28"/>
        <v>681.56917282806944</v>
      </c>
      <c r="S41" s="675">
        <f t="shared" si="28"/>
        <v>1290.4012957693747</v>
      </c>
      <c r="T41" s="675">
        <f t="shared" si="28"/>
        <v>763.17671826340916</v>
      </c>
      <c r="U41" s="676">
        <f t="shared" si="28"/>
        <v>542.16300491349421</v>
      </c>
      <c r="V41" s="674">
        <f t="shared" si="28"/>
        <v>454.37944855204631</v>
      </c>
      <c r="W41" s="675">
        <f t="shared" si="28"/>
        <v>860.26753051291632</v>
      </c>
      <c r="X41" s="675">
        <f t="shared" si="28"/>
        <v>508.78447884227279</v>
      </c>
      <c r="Y41" s="676">
        <f t="shared" si="28"/>
        <v>361.44200327566284</v>
      </c>
      <c r="Z41" s="674">
        <f t="shared" si="28"/>
        <v>780.497410378008</v>
      </c>
      <c r="AA41" s="675">
        <f t="shared" si="28"/>
        <v>1476.5372717320161</v>
      </c>
      <c r="AB41" s="675">
        <f t="shared" si="28"/>
        <v>871.33188435365651</v>
      </c>
      <c r="AC41" s="676">
        <f t="shared" si="28"/>
        <v>616.64333458094632</v>
      </c>
      <c r="AD41" s="674">
        <f t="shared" si="28"/>
        <v>585.37305778350594</v>
      </c>
      <c r="AE41" s="675">
        <f t="shared" si="28"/>
        <v>1107.4029537990123</v>
      </c>
      <c r="AF41" s="675">
        <f t="shared" si="28"/>
        <v>653.49891326524232</v>
      </c>
      <c r="AG41" s="676">
        <f t="shared" si="28"/>
        <v>462.48250093570971</v>
      </c>
      <c r="AH41" s="674">
        <f t="shared" si="28"/>
        <v>390.248705189004</v>
      </c>
      <c r="AI41" s="675">
        <f t="shared" si="28"/>
        <v>738.26863586600803</v>
      </c>
      <c r="AJ41" s="675">
        <f t="shared" si="28"/>
        <v>435.66594217682825</v>
      </c>
      <c r="AK41" s="676">
        <f t="shared" si="28"/>
        <v>308.32166729047316</v>
      </c>
      <c r="AL41" s="573"/>
      <c r="AN41" s="572"/>
      <c r="AO41" s="14"/>
      <c r="AP41" s="14"/>
      <c r="AQ41" s="14"/>
      <c r="AR41" s="14"/>
      <c r="AS41" s="14"/>
      <c r="AT41" s="14"/>
      <c r="AU41" s="493"/>
      <c r="AV41" s="651"/>
      <c r="AW41" s="651"/>
      <c r="AX41" s="651"/>
      <c r="AY41" s="651"/>
      <c r="AZ41" s="651"/>
      <c r="BA41" s="651"/>
      <c r="BB41" s="651"/>
      <c r="BC41" s="651"/>
      <c r="BD41" s="651"/>
      <c r="BE41" s="651"/>
      <c r="BF41" s="651"/>
      <c r="BG41" s="651"/>
      <c r="BH41" s="651"/>
      <c r="BI41" s="651"/>
      <c r="BJ41" s="651"/>
      <c r="BK41" s="651"/>
      <c r="BL41" s="651"/>
      <c r="BM41" s="651"/>
      <c r="BN41" s="651"/>
      <c r="BO41" s="651"/>
      <c r="BP41" s="651"/>
      <c r="BQ41" s="651"/>
      <c r="BR41" s="651"/>
      <c r="BS41" s="651"/>
      <c r="BT41" s="573"/>
    </row>
    <row r="42" spans="4:72">
      <c r="D42" s="572"/>
      <c r="E42" s="14"/>
      <c r="F42" s="14"/>
      <c r="G42" s="14"/>
      <c r="H42" s="14"/>
      <c r="I42" s="14"/>
      <c r="J42" s="14"/>
      <c r="K42" s="861"/>
      <c r="L42" s="862"/>
      <c r="M42" s="659" t="s">
        <v>465</v>
      </c>
      <c r="N42" s="660">
        <f>N41/$N$26</f>
        <v>0.84646493913927023</v>
      </c>
      <c r="O42" s="661">
        <f>O41/$O$26</f>
        <v>0.86541029203645825</v>
      </c>
      <c r="P42" s="661">
        <f>P41/$P$26</f>
        <v>0.8575643321160985</v>
      </c>
      <c r="Q42" s="662">
        <f>Q41/$Q$26</f>
        <v>0.85346187232624271</v>
      </c>
      <c r="R42" s="660">
        <f>R41/$N$26</f>
        <v>0.63484870435445262</v>
      </c>
      <c r="S42" s="661">
        <f>S41/$O$26</f>
        <v>0.64905771902734377</v>
      </c>
      <c r="T42" s="661">
        <f>T41/$P$26</f>
        <v>0.64317324908707385</v>
      </c>
      <c r="U42" s="662">
        <f>U41/$Q$26</f>
        <v>0.64009640424468195</v>
      </c>
      <c r="V42" s="660">
        <f>V41/$N$26</f>
        <v>0.42323246956963512</v>
      </c>
      <c r="W42" s="661">
        <f>W41/$O$26</f>
        <v>0.43270514601822913</v>
      </c>
      <c r="X42" s="661">
        <f>X41/$P$26</f>
        <v>0.42878216605804925</v>
      </c>
      <c r="Y42" s="662">
        <f>Y41/$Q$26</f>
        <v>0.42673093616312135</v>
      </c>
      <c r="Z42" s="660">
        <f>Z41/$N$26</f>
        <v>0.72699557063957276</v>
      </c>
      <c r="AA42" s="661">
        <f>AA41/$O$26</f>
        <v>0.74268207633644601</v>
      </c>
      <c r="AB42" s="661">
        <f>AB41/$P$26</f>
        <v>0.73432187549971439</v>
      </c>
      <c r="AC42" s="662">
        <f>AC41/$Q$26</f>
        <v>0.72803045871728733</v>
      </c>
      <c r="AD42" s="660">
        <f>AD41/$N$26</f>
        <v>0.54524667797967952</v>
      </c>
      <c r="AE42" s="661">
        <f>AE41/$O$26</f>
        <v>0.55701155725233464</v>
      </c>
      <c r="AF42" s="661">
        <f>AF41/$P$26</f>
        <v>0.55074140662478577</v>
      </c>
      <c r="AG42" s="662">
        <f>AG41/$Q$26</f>
        <v>0.54602284403796542</v>
      </c>
      <c r="AH42" s="660">
        <f>AH41/$N$26</f>
        <v>0.36349778531978638</v>
      </c>
      <c r="AI42" s="661">
        <f>AI41/$O$26</f>
        <v>0.371341038168223</v>
      </c>
      <c r="AJ42" s="661">
        <f>AJ41/$P$26</f>
        <v>0.3671609377498572</v>
      </c>
      <c r="AK42" s="662">
        <f>AK41/$Q$26</f>
        <v>0.36401522935864367</v>
      </c>
      <c r="AL42" s="573"/>
      <c r="AN42" s="572"/>
      <c r="AO42" s="14"/>
      <c r="AP42" s="14"/>
      <c r="AQ42" s="14"/>
      <c r="AR42" s="14"/>
      <c r="AS42" s="14"/>
      <c r="AT42" s="14"/>
      <c r="AU42" s="14"/>
      <c r="AV42" s="652"/>
      <c r="AW42" s="629"/>
      <c r="AX42" s="629"/>
      <c r="AY42" s="629"/>
      <c r="AZ42" s="629"/>
      <c r="BA42" s="629"/>
      <c r="BB42" s="629"/>
      <c r="BC42" s="629"/>
      <c r="BD42" s="629"/>
      <c r="BE42" s="629"/>
      <c r="BF42" s="629"/>
      <c r="BG42" s="629"/>
      <c r="BH42" s="629"/>
      <c r="BI42" s="629"/>
      <c r="BJ42" s="629"/>
      <c r="BK42" s="629"/>
      <c r="BL42" s="629"/>
      <c r="BM42" s="629"/>
      <c r="BN42" s="629"/>
      <c r="BO42" s="629"/>
      <c r="BP42" s="629"/>
      <c r="BQ42" s="629"/>
      <c r="BR42" s="629"/>
      <c r="BS42" s="629"/>
      <c r="BT42" s="573"/>
    </row>
    <row r="43" spans="4:72">
      <c r="D43" s="572"/>
      <c r="E43" s="14"/>
      <c r="F43" s="14"/>
      <c r="G43" s="14"/>
      <c r="H43" s="14"/>
      <c r="I43" s="14"/>
      <c r="J43" s="14"/>
      <c r="K43" s="861"/>
      <c r="L43" s="862"/>
      <c r="M43" s="659" t="s">
        <v>466</v>
      </c>
      <c r="N43" s="663">
        <f>AV43</f>
        <v>908.75889710409263</v>
      </c>
      <c r="O43" s="664">
        <f t="shared" ref="O43:AD44" si="29">AW43</f>
        <v>1720.5350610258326</v>
      </c>
      <c r="P43" s="664">
        <f t="shared" si="29"/>
        <v>1017.5689576845456</v>
      </c>
      <c r="Q43" s="665">
        <f t="shared" si="29"/>
        <v>722.88400655132568</v>
      </c>
      <c r="R43" s="663">
        <f t="shared" si="29"/>
        <v>681.56917282806944</v>
      </c>
      <c r="S43" s="664">
        <f t="shared" si="29"/>
        <v>1290.4012957693747</v>
      </c>
      <c r="T43" s="664">
        <f t="shared" si="29"/>
        <v>763.17671826340916</v>
      </c>
      <c r="U43" s="665">
        <f t="shared" si="29"/>
        <v>542.16300491349421</v>
      </c>
      <c r="V43" s="663">
        <f t="shared" si="29"/>
        <v>454.37944855204631</v>
      </c>
      <c r="W43" s="664">
        <f t="shared" si="29"/>
        <v>860.26753051291632</v>
      </c>
      <c r="X43" s="664">
        <f t="shared" si="29"/>
        <v>508.78447884227279</v>
      </c>
      <c r="Y43" s="665">
        <f t="shared" si="29"/>
        <v>361.44200327566284</v>
      </c>
      <c r="Z43" s="663">
        <f t="shared" si="29"/>
        <v>780.497410378008</v>
      </c>
      <c r="AA43" s="664">
        <f t="shared" si="29"/>
        <v>1476.5372717320161</v>
      </c>
      <c r="AB43" s="664">
        <f t="shared" si="29"/>
        <v>871.33188435365651</v>
      </c>
      <c r="AC43" s="665">
        <f t="shared" si="29"/>
        <v>616.64333458094632</v>
      </c>
      <c r="AD43" s="663">
        <f t="shared" si="29"/>
        <v>585.37305778350594</v>
      </c>
      <c r="AE43" s="664">
        <f t="shared" ref="AE43:AK44" si="30">BM43</f>
        <v>1107.4029537990123</v>
      </c>
      <c r="AF43" s="664">
        <f t="shared" si="30"/>
        <v>653.49891326524232</v>
      </c>
      <c r="AG43" s="665">
        <f t="shared" si="30"/>
        <v>462.48250093570971</v>
      </c>
      <c r="AH43" s="663">
        <f t="shared" si="30"/>
        <v>390.248705189004</v>
      </c>
      <c r="AI43" s="664">
        <f t="shared" si="30"/>
        <v>738.26863586600803</v>
      </c>
      <c r="AJ43" s="664">
        <f t="shared" si="30"/>
        <v>435.66594217682825</v>
      </c>
      <c r="AK43" s="665">
        <f t="shared" si="30"/>
        <v>308.32166729047316</v>
      </c>
      <c r="AL43" s="573"/>
      <c r="AN43" s="572"/>
      <c r="AO43" s="14"/>
      <c r="AP43" s="14"/>
      <c r="AQ43" s="14"/>
      <c r="AR43" s="14"/>
      <c r="AS43" s="14"/>
      <c r="AT43" s="14"/>
      <c r="AU43" s="14"/>
      <c r="AV43" s="650">
        <f>SUMPRODUCT($K32:$K40,AV32:AV40)</f>
        <v>908.75889710409263</v>
      </c>
      <c r="AW43" s="650">
        <f t="shared" ref="AW43:BS43" si="31">SUMPRODUCT($K32:$K40,AW32:AW40)</f>
        <v>1720.5350610258326</v>
      </c>
      <c r="AX43" s="650">
        <f t="shared" si="31"/>
        <v>1017.5689576845456</v>
      </c>
      <c r="AY43" s="650">
        <f t="shared" si="31"/>
        <v>722.88400655132568</v>
      </c>
      <c r="AZ43" s="650">
        <f t="shared" si="31"/>
        <v>681.56917282806944</v>
      </c>
      <c r="BA43" s="650">
        <f t="shared" si="31"/>
        <v>1290.4012957693747</v>
      </c>
      <c r="BB43" s="650">
        <f t="shared" si="31"/>
        <v>763.17671826340916</v>
      </c>
      <c r="BC43" s="650">
        <f t="shared" si="31"/>
        <v>542.16300491349421</v>
      </c>
      <c r="BD43" s="650">
        <f t="shared" si="31"/>
        <v>454.37944855204631</v>
      </c>
      <c r="BE43" s="650">
        <f t="shared" si="31"/>
        <v>860.26753051291632</v>
      </c>
      <c r="BF43" s="650">
        <f t="shared" si="31"/>
        <v>508.78447884227279</v>
      </c>
      <c r="BG43" s="650">
        <f t="shared" si="31"/>
        <v>361.44200327566284</v>
      </c>
      <c r="BH43" s="650">
        <f t="shared" si="31"/>
        <v>780.497410378008</v>
      </c>
      <c r="BI43" s="650">
        <f t="shared" si="31"/>
        <v>1476.5372717320161</v>
      </c>
      <c r="BJ43" s="650">
        <f t="shared" si="31"/>
        <v>871.33188435365651</v>
      </c>
      <c r="BK43" s="650">
        <f t="shared" si="31"/>
        <v>616.64333458094632</v>
      </c>
      <c r="BL43" s="650">
        <f t="shared" si="31"/>
        <v>585.37305778350594</v>
      </c>
      <c r="BM43" s="650">
        <f t="shared" si="31"/>
        <v>1107.4029537990123</v>
      </c>
      <c r="BN43" s="650">
        <f t="shared" si="31"/>
        <v>653.49891326524232</v>
      </c>
      <c r="BO43" s="650">
        <f t="shared" si="31"/>
        <v>462.48250093570971</v>
      </c>
      <c r="BP43" s="650">
        <f t="shared" si="31"/>
        <v>390.248705189004</v>
      </c>
      <c r="BQ43" s="650">
        <f t="shared" si="31"/>
        <v>738.26863586600803</v>
      </c>
      <c r="BR43" s="650">
        <f t="shared" si="31"/>
        <v>435.66594217682825</v>
      </c>
      <c r="BS43" s="650">
        <f t="shared" si="31"/>
        <v>308.32166729047316</v>
      </c>
      <c r="BT43" s="573"/>
    </row>
    <row r="44" spans="4:72" ht="15" thickBot="1">
      <c r="D44" s="572"/>
      <c r="E44" s="14"/>
      <c r="F44" s="14"/>
      <c r="G44" s="14"/>
      <c r="H44" s="14"/>
      <c r="I44" s="14"/>
      <c r="J44" s="14"/>
      <c r="K44" s="863"/>
      <c r="L44" s="864"/>
      <c r="M44" s="677" t="s">
        <v>104</v>
      </c>
      <c r="N44" s="678">
        <f>AV44</f>
        <v>1</v>
      </c>
      <c r="O44" s="679">
        <f t="shared" si="29"/>
        <v>1</v>
      </c>
      <c r="P44" s="679">
        <f t="shared" si="29"/>
        <v>1</v>
      </c>
      <c r="Q44" s="680">
        <f t="shared" si="29"/>
        <v>1</v>
      </c>
      <c r="R44" s="678">
        <f t="shared" si="29"/>
        <v>1</v>
      </c>
      <c r="S44" s="679">
        <f t="shared" si="29"/>
        <v>1</v>
      </c>
      <c r="T44" s="679">
        <f t="shared" si="29"/>
        <v>1</v>
      </c>
      <c r="U44" s="680">
        <f t="shared" si="29"/>
        <v>1</v>
      </c>
      <c r="V44" s="678">
        <f t="shared" si="29"/>
        <v>1</v>
      </c>
      <c r="W44" s="679">
        <f t="shared" si="29"/>
        <v>1</v>
      </c>
      <c r="X44" s="679">
        <f t="shared" si="29"/>
        <v>1</v>
      </c>
      <c r="Y44" s="680">
        <f t="shared" si="29"/>
        <v>1</v>
      </c>
      <c r="Z44" s="678">
        <f t="shared" si="29"/>
        <v>1</v>
      </c>
      <c r="AA44" s="679">
        <f t="shared" si="29"/>
        <v>1</v>
      </c>
      <c r="AB44" s="679">
        <f t="shared" si="29"/>
        <v>1</v>
      </c>
      <c r="AC44" s="680">
        <f t="shared" si="29"/>
        <v>1</v>
      </c>
      <c r="AD44" s="678">
        <f t="shared" si="29"/>
        <v>1</v>
      </c>
      <c r="AE44" s="679">
        <f t="shared" si="30"/>
        <v>1</v>
      </c>
      <c r="AF44" s="679">
        <f t="shared" si="30"/>
        <v>1</v>
      </c>
      <c r="AG44" s="680">
        <f t="shared" si="30"/>
        <v>1</v>
      </c>
      <c r="AH44" s="678">
        <f t="shared" si="30"/>
        <v>1</v>
      </c>
      <c r="AI44" s="679">
        <f t="shared" si="30"/>
        <v>1</v>
      </c>
      <c r="AJ44" s="679">
        <f t="shared" si="30"/>
        <v>1</v>
      </c>
      <c r="AK44" s="680">
        <f t="shared" si="30"/>
        <v>1</v>
      </c>
      <c r="AL44" s="573"/>
      <c r="AN44" s="572"/>
      <c r="AO44" s="14"/>
      <c r="AP44" s="14"/>
      <c r="AQ44" s="14"/>
      <c r="AR44" s="14"/>
      <c r="AS44" s="14"/>
      <c r="AT44" s="14"/>
      <c r="AU44" s="14"/>
      <c r="AV44" s="645">
        <f t="shared" ref="AV44:BS44" si="32">AV43/N41</f>
        <v>1</v>
      </c>
      <c r="AW44" s="645">
        <f t="shared" si="32"/>
        <v>1</v>
      </c>
      <c r="AX44" s="645">
        <f t="shared" si="32"/>
        <v>1</v>
      </c>
      <c r="AY44" s="645">
        <f t="shared" si="32"/>
        <v>1</v>
      </c>
      <c r="AZ44" s="645">
        <f t="shared" si="32"/>
        <v>1</v>
      </c>
      <c r="BA44" s="645">
        <f t="shared" si="32"/>
        <v>1</v>
      </c>
      <c r="BB44" s="645">
        <f t="shared" si="32"/>
        <v>1</v>
      </c>
      <c r="BC44" s="645">
        <f t="shared" si="32"/>
        <v>1</v>
      </c>
      <c r="BD44" s="645">
        <f t="shared" si="32"/>
        <v>1</v>
      </c>
      <c r="BE44" s="645">
        <f t="shared" si="32"/>
        <v>1</v>
      </c>
      <c r="BF44" s="645">
        <f t="shared" si="32"/>
        <v>1</v>
      </c>
      <c r="BG44" s="645">
        <f t="shared" si="32"/>
        <v>1</v>
      </c>
      <c r="BH44" s="645">
        <f t="shared" si="32"/>
        <v>1</v>
      </c>
      <c r="BI44" s="645">
        <f t="shared" si="32"/>
        <v>1</v>
      </c>
      <c r="BJ44" s="645">
        <f t="shared" si="32"/>
        <v>1</v>
      </c>
      <c r="BK44" s="645">
        <f t="shared" si="32"/>
        <v>1</v>
      </c>
      <c r="BL44" s="645">
        <f t="shared" si="32"/>
        <v>1</v>
      </c>
      <c r="BM44" s="645">
        <f t="shared" si="32"/>
        <v>1</v>
      </c>
      <c r="BN44" s="645">
        <f t="shared" si="32"/>
        <v>1</v>
      </c>
      <c r="BO44" s="645">
        <f t="shared" si="32"/>
        <v>1</v>
      </c>
      <c r="BP44" s="645">
        <f t="shared" si="32"/>
        <v>1</v>
      </c>
      <c r="BQ44" s="645">
        <f t="shared" si="32"/>
        <v>1</v>
      </c>
      <c r="BR44" s="645">
        <f t="shared" si="32"/>
        <v>1</v>
      </c>
      <c r="BS44" s="645">
        <f t="shared" si="32"/>
        <v>1</v>
      </c>
      <c r="BT44" s="573"/>
    </row>
    <row r="45" spans="4:72" ht="15.75" customHeight="1" thickTop="1">
      <c r="D45" s="572"/>
      <c r="E45" s="14"/>
      <c r="F45" s="14"/>
      <c r="G45" s="14"/>
      <c r="H45" s="14"/>
      <c r="I45" s="14"/>
      <c r="J45" s="14"/>
      <c r="K45" s="859" t="s">
        <v>467</v>
      </c>
      <c r="L45" s="860"/>
      <c r="M45" s="673" t="s">
        <v>464</v>
      </c>
      <c r="N45" s="674">
        <f>SUMPRODUCT($L$32:$L$40,N32:N40)</f>
        <v>263.41690944419736</v>
      </c>
      <c r="O45" s="675">
        <f t="shared" ref="O45:AK45" si="33">SUMPRODUCT($L$32:$L$40,O32:O40)</f>
        <v>554.21446346668154</v>
      </c>
      <c r="P45" s="675">
        <f t="shared" si="33"/>
        <v>307.64517225640532</v>
      </c>
      <c r="Q45" s="676">
        <f t="shared" si="33"/>
        <v>205.28642938188128</v>
      </c>
      <c r="R45" s="674">
        <f t="shared" si="33"/>
        <v>197.56268208314802</v>
      </c>
      <c r="S45" s="675">
        <f t="shared" si="33"/>
        <v>415.66084760001115</v>
      </c>
      <c r="T45" s="675">
        <f t="shared" si="33"/>
        <v>230.73387919230396</v>
      </c>
      <c r="U45" s="676">
        <f t="shared" si="33"/>
        <v>153.96482203641096</v>
      </c>
      <c r="V45" s="674">
        <f t="shared" si="33"/>
        <v>131.70845472209868</v>
      </c>
      <c r="W45" s="675">
        <f t="shared" si="33"/>
        <v>277.10723173334077</v>
      </c>
      <c r="X45" s="675">
        <f t="shared" si="33"/>
        <v>153.82258612820266</v>
      </c>
      <c r="Y45" s="676">
        <f t="shared" si="33"/>
        <v>102.64321469094064</v>
      </c>
      <c r="Z45" s="674">
        <f t="shared" si="33"/>
        <v>92.40159380941779</v>
      </c>
      <c r="AA45" s="675">
        <f t="shared" si="33"/>
        <v>228.88407774159285</v>
      </c>
      <c r="AB45" s="675">
        <f t="shared" si="33"/>
        <v>112.66240781521981</v>
      </c>
      <c r="AC45" s="676">
        <f t="shared" si="33"/>
        <v>63.632200088042119</v>
      </c>
      <c r="AD45" s="674">
        <f t="shared" si="33"/>
        <v>69.301195357063335</v>
      </c>
      <c r="AE45" s="675">
        <f t="shared" si="33"/>
        <v>171.66305830619464</v>
      </c>
      <c r="AF45" s="675">
        <f t="shared" si="33"/>
        <v>84.496805861414856</v>
      </c>
      <c r="AG45" s="676">
        <f t="shared" si="33"/>
        <v>47.724150066031584</v>
      </c>
      <c r="AH45" s="674">
        <f t="shared" si="33"/>
        <v>46.200796904708895</v>
      </c>
      <c r="AI45" s="675">
        <f t="shared" si="33"/>
        <v>114.44203887079642</v>
      </c>
      <c r="AJ45" s="675">
        <f t="shared" si="33"/>
        <v>56.331203907609904</v>
      </c>
      <c r="AK45" s="676">
        <f t="shared" si="33"/>
        <v>31.816100044021059</v>
      </c>
      <c r="AL45" s="573"/>
      <c r="AN45" s="572"/>
      <c r="AO45" s="14"/>
      <c r="AP45" s="14"/>
      <c r="AQ45" s="14"/>
      <c r="AR45" s="14"/>
      <c r="AS45" s="14"/>
      <c r="AT45" s="14"/>
      <c r="AU45" s="14"/>
      <c r="AV45" s="645"/>
      <c r="AW45" s="629"/>
      <c r="AX45" s="629"/>
      <c r="AY45" s="629"/>
      <c r="AZ45" s="629"/>
      <c r="BA45" s="629"/>
      <c r="BB45" s="629"/>
      <c r="BC45" s="629"/>
      <c r="BD45" s="629"/>
      <c r="BE45" s="629"/>
      <c r="BF45" s="629"/>
      <c r="BG45" s="629"/>
      <c r="BH45" s="629"/>
      <c r="BI45" s="629"/>
      <c r="BJ45" s="629"/>
      <c r="BK45" s="629"/>
      <c r="BL45" s="629"/>
      <c r="BM45" s="629"/>
      <c r="BN45" s="629"/>
      <c r="BO45" s="629"/>
      <c r="BP45" s="629"/>
      <c r="BQ45" s="629"/>
      <c r="BR45" s="629"/>
      <c r="BS45" s="629"/>
      <c r="BT45" s="573"/>
    </row>
    <row r="46" spans="4:72">
      <c r="D46" s="572"/>
      <c r="E46" s="14"/>
      <c r="F46" s="14"/>
      <c r="G46" s="14"/>
      <c r="H46" s="14"/>
      <c r="I46" s="14"/>
      <c r="J46" s="14"/>
      <c r="K46" s="861"/>
      <c r="L46" s="862"/>
      <c r="M46" s="659" t="s">
        <v>465</v>
      </c>
      <c r="N46" s="660">
        <f>N45/$N$26</f>
        <v>0.24536010478849485</v>
      </c>
      <c r="O46" s="661">
        <f t="shared" ref="O46:AK46" si="34">O45/$N$26</f>
        <v>0.51622395509234043</v>
      </c>
      <c r="P46" s="661">
        <f t="shared" si="34"/>
        <v>0.28655659145715084</v>
      </c>
      <c r="Q46" s="662">
        <f t="shared" si="34"/>
        <v>0.19121437545931197</v>
      </c>
      <c r="R46" s="660">
        <f t="shared" si="34"/>
        <v>0.18402007859137115</v>
      </c>
      <c r="S46" s="661">
        <f t="shared" si="34"/>
        <v>0.38716796631925532</v>
      </c>
      <c r="T46" s="661">
        <f t="shared" si="34"/>
        <v>0.21491744359286311</v>
      </c>
      <c r="U46" s="662">
        <f t="shared" si="34"/>
        <v>0.143410781594484</v>
      </c>
      <c r="V46" s="660">
        <f t="shared" si="34"/>
        <v>0.12268005239424742</v>
      </c>
      <c r="W46" s="661">
        <f t="shared" si="34"/>
        <v>0.25811197754617021</v>
      </c>
      <c r="X46" s="661">
        <f t="shared" si="34"/>
        <v>0.14327829572857542</v>
      </c>
      <c r="Y46" s="662">
        <f t="shared" si="34"/>
        <v>9.5607187729655985E-2</v>
      </c>
      <c r="Z46" s="660">
        <f t="shared" si="34"/>
        <v>8.6067613455564768E-2</v>
      </c>
      <c r="AA46" s="661">
        <f t="shared" si="34"/>
        <v>0.21319444305071097</v>
      </c>
      <c r="AB46" s="661">
        <f t="shared" si="34"/>
        <v>0.10493958131082841</v>
      </c>
      <c r="AC46" s="662">
        <f t="shared" si="34"/>
        <v>5.9270315312965609E-2</v>
      </c>
      <c r="AD46" s="660">
        <f t="shared" si="34"/>
        <v>6.4550710091673569E-2</v>
      </c>
      <c r="AE46" s="661">
        <f t="shared" si="34"/>
        <v>0.15989583228803322</v>
      </c>
      <c r="AF46" s="661">
        <f t="shared" si="34"/>
        <v>7.8704685983121303E-2</v>
      </c>
      <c r="AG46" s="662">
        <f t="shared" si="34"/>
        <v>4.4452736484724198E-2</v>
      </c>
      <c r="AH46" s="660">
        <f t="shared" si="34"/>
        <v>4.3033806727782384E-2</v>
      </c>
      <c r="AI46" s="661">
        <f t="shared" si="34"/>
        <v>0.10659722152535549</v>
      </c>
      <c r="AJ46" s="661">
        <f t="shared" si="34"/>
        <v>5.2469790655414204E-2</v>
      </c>
      <c r="AK46" s="662">
        <f t="shared" si="34"/>
        <v>2.9635157656482804E-2</v>
      </c>
      <c r="AL46" s="573"/>
      <c r="AN46" s="572"/>
      <c r="AO46" s="14"/>
      <c r="AP46" s="14"/>
      <c r="AQ46" s="14"/>
      <c r="AR46" s="14"/>
      <c r="AS46" s="14"/>
      <c r="AT46" s="14"/>
      <c r="AU46" s="14"/>
      <c r="AV46" s="650"/>
      <c r="AW46" s="629"/>
      <c r="AX46" s="629"/>
      <c r="AY46" s="629"/>
      <c r="AZ46" s="629"/>
      <c r="BA46" s="629"/>
      <c r="BB46" s="629"/>
      <c r="BC46" s="629"/>
      <c r="BD46" s="629"/>
      <c r="BE46" s="629"/>
      <c r="BF46" s="629"/>
      <c r="BG46" s="629"/>
      <c r="BH46" s="629"/>
      <c r="BI46" s="629"/>
      <c r="BJ46" s="629"/>
      <c r="BK46" s="629"/>
      <c r="BL46" s="629"/>
      <c r="BM46" s="629"/>
      <c r="BN46" s="629"/>
      <c r="BO46" s="629"/>
      <c r="BP46" s="629"/>
      <c r="BQ46" s="629"/>
      <c r="BR46" s="629"/>
      <c r="BS46" s="629"/>
      <c r="BT46" s="573"/>
    </row>
    <row r="47" spans="4:72">
      <c r="D47" s="572"/>
      <c r="E47" s="14"/>
      <c r="F47" s="14"/>
      <c r="G47" s="14"/>
      <c r="H47" s="14"/>
      <c r="I47" s="14"/>
      <c r="J47" s="14"/>
      <c r="K47" s="861"/>
      <c r="L47" s="862"/>
      <c r="M47" s="659" t="s">
        <v>466</v>
      </c>
      <c r="N47" s="663">
        <f>AV47</f>
        <v>163.31717538969622</v>
      </c>
      <c r="O47" s="664">
        <f t="shared" ref="O47:AD48" si="35">AW47</f>
        <v>335.10164121893285</v>
      </c>
      <c r="P47" s="664">
        <f t="shared" si="35"/>
        <v>188.79303406119118</v>
      </c>
      <c r="Q47" s="665">
        <f t="shared" si="35"/>
        <v>127.92851178049241</v>
      </c>
      <c r="R47" s="663">
        <f t="shared" si="35"/>
        <v>122.48788154227216</v>
      </c>
      <c r="S47" s="664">
        <f t="shared" si="35"/>
        <v>251.32623091419964</v>
      </c>
      <c r="T47" s="664">
        <f t="shared" si="35"/>
        <v>141.59477554589336</v>
      </c>
      <c r="U47" s="665">
        <f t="shared" si="35"/>
        <v>95.946383835369289</v>
      </c>
      <c r="V47" s="663">
        <f t="shared" si="35"/>
        <v>81.658587694848109</v>
      </c>
      <c r="W47" s="664">
        <f t="shared" si="35"/>
        <v>167.55082060946643</v>
      </c>
      <c r="X47" s="664">
        <f t="shared" si="35"/>
        <v>94.396517030595589</v>
      </c>
      <c r="Y47" s="665">
        <f t="shared" si="35"/>
        <v>63.964255890246207</v>
      </c>
      <c r="Z47" s="663">
        <f t="shared" si="35"/>
        <v>77.809517572306433</v>
      </c>
      <c r="AA47" s="664">
        <f t="shared" si="35"/>
        <v>172.4364483563885</v>
      </c>
      <c r="AB47" s="664">
        <f t="shared" si="35"/>
        <v>91.301651840598424</v>
      </c>
      <c r="AC47" s="665">
        <f t="shared" si="35"/>
        <v>57.101397133572824</v>
      </c>
      <c r="AD47" s="663">
        <f t="shared" si="35"/>
        <v>58.357138179229821</v>
      </c>
      <c r="AE47" s="664">
        <f t="shared" ref="AE47:AK48" si="36">BM47</f>
        <v>129.32733626729137</v>
      </c>
      <c r="AF47" s="664">
        <f t="shared" si="36"/>
        <v>68.476238880448818</v>
      </c>
      <c r="AG47" s="665">
        <f t="shared" si="36"/>
        <v>42.826047850179613</v>
      </c>
      <c r="AH47" s="663">
        <f t="shared" si="36"/>
        <v>38.904758786153216</v>
      </c>
      <c r="AI47" s="664">
        <f t="shared" si="36"/>
        <v>86.218224178194248</v>
      </c>
      <c r="AJ47" s="664">
        <f t="shared" si="36"/>
        <v>45.650825920299212</v>
      </c>
      <c r="AK47" s="665">
        <f t="shared" si="36"/>
        <v>28.550698566786412</v>
      </c>
      <c r="AL47" s="573"/>
      <c r="AN47" s="572"/>
      <c r="AO47" s="14"/>
      <c r="AP47" s="14"/>
      <c r="AQ47" s="14"/>
      <c r="AR47" s="14"/>
      <c r="AS47" s="14"/>
      <c r="AT47" s="14"/>
      <c r="AU47" s="14"/>
      <c r="AV47" s="650">
        <f>SUMPRODUCT($L32:$L40,AV32:AV40)</f>
        <v>163.31717538969622</v>
      </c>
      <c r="AW47" s="650">
        <f t="shared" ref="AW47:BS47" si="37">SUMPRODUCT($L32:$L40,AW32:AW40)</f>
        <v>335.10164121893285</v>
      </c>
      <c r="AX47" s="650">
        <f t="shared" si="37"/>
        <v>188.79303406119118</v>
      </c>
      <c r="AY47" s="650">
        <f t="shared" si="37"/>
        <v>127.92851178049241</v>
      </c>
      <c r="AZ47" s="650">
        <f t="shared" si="37"/>
        <v>122.48788154227216</v>
      </c>
      <c r="BA47" s="650">
        <f t="shared" si="37"/>
        <v>251.32623091419964</v>
      </c>
      <c r="BB47" s="650">
        <f t="shared" si="37"/>
        <v>141.59477554589336</v>
      </c>
      <c r="BC47" s="650">
        <f t="shared" si="37"/>
        <v>95.946383835369289</v>
      </c>
      <c r="BD47" s="650">
        <f t="shared" si="37"/>
        <v>81.658587694848109</v>
      </c>
      <c r="BE47" s="650">
        <f t="shared" si="37"/>
        <v>167.55082060946643</v>
      </c>
      <c r="BF47" s="650">
        <f t="shared" si="37"/>
        <v>94.396517030595589</v>
      </c>
      <c r="BG47" s="650">
        <f t="shared" si="37"/>
        <v>63.964255890246207</v>
      </c>
      <c r="BH47" s="650">
        <f t="shared" si="37"/>
        <v>77.809517572306433</v>
      </c>
      <c r="BI47" s="650">
        <f t="shared" si="37"/>
        <v>172.4364483563885</v>
      </c>
      <c r="BJ47" s="650">
        <f t="shared" si="37"/>
        <v>91.301651840598424</v>
      </c>
      <c r="BK47" s="650">
        <f t="shared" si="37"/>
        <v>57.101397133572824</v>
      </c>
      <c r="BL47" s="650">
        <f t="shared" si="37"/>
        <v>58.357138179229821</v>
      </c>
      <c r="BM47" s="650">
        <f t="shared" si="37"/>
        <v>129.32733626729137</v>
      </c>
      <c r="BN47" s="650">
        <f t="shared" si="37"/>
        <v>68.476238880448818</v>
      </c>
      <c r="BO47" s="650">
        <f t="shared" si="37"/>
        <v>42.826047850179613</v>
      </c>
      <c r="BP47" s="650">
        <f t="shared" si="37"/>
        <v>38.904758786153216</v>
      </c>
      <c r="BQ47" s="650">
        <f t="shared" si="37"/>
        <v>86.218224178194248</v>
      </c>
      <c r="BR47" s="650">
        <f t="shared" si="37"/>
        <v>45.650825920299212</v>
      </c>
      <c r="BS47" s="650">
        <f t="shared" si="37"/>
        <v>28.550698566786412</v>
      </c>
      <c r="BT47" s="573"/>
    </row>
    <row r="48" spans="4:72" ht="15" thickBot="1">
      <c r="D48" s="572"/>
      <c r="E48" s="14"/>
      <c r="F48" s="14"/>
      <c r="G48" s="14"/>
      <c r="H48" s="14"/>
      <c r="I48" s="14"/>
      <c r="J48" s="14"/>
      <c r="K48" s="863"/>
      <c r="L48" s="864"/>
      <c r="M48" s="677" t="s">
        <v>104</v>
      </c>
      <c r="N48" s="678">
        <f>AV48</f>
        <v>0.61999503271939183</v>
      </c>
      <c r="O48" s="679">
        <f t="shared" si="35"/>
        <v>0.6046425405840723</v>
      </c>
      <c r="P48" s="679">
        <f t="shared" si="35"/>
        <v>0.61367136911819498</v>
      </c>
      <c r="Q48" s="680">
        <f t="shared" si="35"/>
        <v>0.62317081633542926</v>
      </c>
      <c r="R48" s="678">
        <f t="shared" si="35"/>
        <v>0.61999503271939183</v>
      </c>
      <c r="S48" s="679">
        <f t="shared" si="35"/>
        <v>0.6046425405840723</v>
      </c>
      <c r="T48" s="679">
        <f t="shared" si="35"/>
        <v>0.61367136911819486</v>
      </c>
      <c r="U48" s="680">
        <f t="shared" si="35"/>
        <v>0.62317081633542915</v>
      </c>
      <c r="V48" s="678">
        <f t="shared" si="35"/>
        <v>0.61999503271939183</v>
      </c>
      <c r="W48" s="679">
        <f t="shared" si="35"/>
        <v>0.6046425405840723</v>
      </c>
      <c r="X48" s="679">
        <f t="shared" si="35"/>
        <v>0.61367136911819498</v>
      </c>
      <c r="Y48" s="680">
        <f t="shared" si="35"/>
        <v>0.62317081633542926</v>
      </c>
      <c r="Z48" s="678">
        <f t="shared" si="35"/>
        <v>0.84207982096923417</v>
      </c>
      <c r="AA48" s="679">
        <f t="shared" si="35"/>
        <v>0.75337895959310464</v>
      </c>
      <c r="AB48" s="679">
        <f t="shared" si="35"/>
        <v>0.81040032439519982</v>
      </c>
      <c r="AC48" s="680">
        <f t="shared" si="35"/>
        <v>0.89736638140071834</v>
      </c>
      <c r="AD48" s="678">
        <f t="shared" si="35"/>
        <v>0.84207982096923428</v>
      </c>
      <c r="AE48" s="679">
        <f t="shared" si="36"/>
        <v>0.75337895959310464</v>
      </c>
      <c r="AF48" s="679">
        <f t="shared" si="36"/>
        <v>0.81040032439519982</v>
      </c>
      <c r="AG48" s="680">
        <f t="shared" si="36"/>
        <v>0.89736638140071834</v>
      </c>
      <c r="AH48" s="678">
        <f t="shared" si="36"/>
        <v>0.84207982096923417</v>
      </c>
      <c r="AI48" s="679">
        <f t="shared" si="36"/>
        <v>0.75337895959310464</v>
      </c>
      <c r="AJ48" s="679">
        <f t="shared" si="36"/>
        <v>0.81040032439519982</v>
      </c>
      <c r="AK48" s="680">
        <f t="shared" si="36"/>
        <v>0.89736638140071834</v>
      </c>
      <c r="AL48" s="573"/>
      <c r="AN48" s="572"/>
      <c r="AO48" s="14"/>
      <c r="AP48" s="14"/>
      <c r="AQ48" s="14"/>
      <c r="AR48" s="14"/>
      <c r="AS48" s="14"/>
      <c r="AT48" s="14"/>
      <c r="AU48" s="14"/>
      <c r="AV48" s="645">
        <f t="shared" ref="AV48:BS48" si="38">AV47/N45</f>
        <v>0.61999503271939183</v>
      </c>
      <c r="AW48" s="645">
        <f t="shared" si="38"/>
        <v>0.6046425405840723</v>
      </c>
      <c r="AX48" s="645">
        <f t="shared" si="38"/>
        <v>0.61367136911819498</v>
      </c>
      <c r="AY48" s="645">
        <f t="shared" si="38"/>
        <v>0.62317081633542926</v>
      </c>
      <c r="AZ48" s="645">
        <f t="shared" si="38"/>
        <v>0.61999503271939183</v>
      </c>
      <c r="BA48" s="645">
        <f t="shared" si="38"/>
        <v>0.6046425405840723</v>
      </c>
      <c r="BB48" s="645">
        <f t="shared" si="38"/>
        <v>0.61367136911819486</v>
      </c>
      <c r="BC48" s="645">
        <f t="shared" si="38"/>
        <v>0.62317081633542915</v>
      </c>
      <c r="BD48" s="645">
        <f t="shared" si="38"/>
        <v>0.61999503271939183</v>
      </c>
      <c r="BE48" s="645">
        <f t="shared" si="38"/>
        <v>0.6046425405840723</v>
      </c>
      <c r="BF48" s="645">
        <f t="shared" si="38"/>
        <v>0.61367136911819498</v>
      </c>
      <c r="BG48" s="645">
        <f t="shared" si="38"/>
        <v>0.62317081633542926</v>
      </c>
      <c r="BH48" s="645">
        <f t="shared" si="38"/>
        <v>0.84207982096923417</v>
      </c>
      <c r="BI48" s="645">
        <f t="shared" si="38"/>
        <v>0.75337895959310464</v>
      </c>
      <c r="BJ48" s="645">
        <f t="shared" si="38"/>
        <v>0.81040032439519982</v>
      </c>
      <c r="BK48" s="645">
        <f t="shared" si="38"/>
        <v>0.89736638140071834</v>
      </c>
      <c r="BL48" s="645">
        <f t="shared" si="38"/>
        <v>0.84207982096923428</v>
      </c>
      <c r="BM48" s="645">
        <f t="shared" si="38"/>
        <v>0.75337895959310464</v>
      </c>
      <c r="BN48" s="645">
        <f t="shared" si="38"/>
        <v>0.81040032439519982</v>
      </c>
      <c r="BO48" s="645">
        <f t="shared" si="38"/>
        <v>0.89736638140071834</v>
      </c>
      <c r="BP48" s="645">
        <f t="shared" si="38"/>
        <v>0.84207982096923417</v>
      </c>
      <c r="BQ48" s="645">
        <f t="shared" si="38"/>
        <v>0.75337895959310464</v>
      </c>
      <c r="BR48" s="645">
        <f t="shared" si="38"/>
        <v>0.81040032439519982</v>
      </c>
      <c r="BS48" s="645">
        <f t="shared" si="38"/>
        <v>0.89736638140071834</v>
      </c>
      <c r="BT48" s="573"/>
    </row>
    <row r="49" spans="4:72" ht="15.75" customHeight="1" thickTop="1">
      <c r="D49" s="572"/>
      <c r="E49" s="14"/>
      <c r="F49" s="14"/>
      <c r="G49" s="14"/>
      <c r="H49" s="14"/>
      <c r="I49" s="14"/>
      <c r="J49" s="14"/>
      <c r="K49" s="859" t="s">
        <v>468</v>
      </c>
      <c r="L49" s="860"/>
      <c r="M49" s="673" t="s">
        <v>464</v>
      </c>
      <c r="N49" s="674">
        <f>SUMPRODUCT($M$32:$M$40,N32:N40)</f>
        <v>273.42688284964748</v>
      </c>
      <c r="O49" s="675">
        <f t="shared" ref="O49:AK49" si="39">SUMPRODUCT($M$32:$M$40,O32:O40)</f>
        <v>576.12574569145647</v>
      </c>
      <c r="P49" s="675">
        <f t="shared" si="39"/>
        <v>319.53038607592674</v>
      </c>
      <c r="Q49" s="676">
        <f t="shared" si="39"/>
        <v>213.02222114202019</v>
      </c>
      <c r="R49" s="674">
        <f t="shared" si="39"/>
        <v>205.07016213723563</v>
      </c>
      <c r="S49" s="675">
        <f t="shared" si="39"/>
        <v>432.09430926859238</v>
      </c>
      <c r="T49" s="675">
        <f t="shared" si="39"/>
        <v>239.64778955694504</v>
      </c>
      <c r="U49" s="676">
        <f t="shared" si="39"/>
        <v>159.76666585651512</v>
      </c>
      <c r="V49" s="674">
        <f t="shared" si="39"/>
        <v>136.71344142482374</v>
      </c>
      <c r="W49" s="675">
        <f t="shared" si="39"/>
        <v>288.06287284572824</v>
      </c>
      <c r="X49" s="675">
        <f t="shared" si="39"/>
        <v>159.76519303796337</v>
      </c>
      <c r="Y49" s="676">
        <f t="shared" si="39"/>
        <v>106.51111057101009</v>
      </c>
      <c r="Z49" s="674">
        <f t="shared" si="39"/>
        <v>93.860801433128927</v>
      </c>
      <c r="AA49" s="675">
        <f t="shared" si="39"/>
        <v>234.52884068011329</v>
      </c>
      <c r="AB49" s="675">
        <f t="shared" si="39"/>
        <v>114.79848341268195</v>
      </c>
      <c r="AC49" s="676">
        <f t="shared" si="39"/>
        <v>64.285280383489052</v>
      </c>
      <c r="AD49" s="674">
        <f t="shared" si="39"/>
        <v>70.395601074846695</v>
      </c>
      <c r="AE49" s="675">
        <f t="shared" si="39"/>
        <v>175.89663051008498</v>
      </c>
      <c r="AF49" s="675">
        <f t="shared" si="39"/>
        <v>86.09886255951146</v>
      </c>
      <c r="AG49" s="676">
        <f t="shared" si="39"/>
        <v>48.213960287616779</v>
      </c>
      <c r="AH49" s="674">
        <f t="shared" si="39"/>
        <v>46.930400716564463</v>
      </c>
      <c r="AI49" s="675">
        <f t="shared" si="39"/>
        <v>117.26442034005665</v>
      </c>
      <c r="AJ49" s="675">
        <f t="shared" si="39"/>
        <v>57.399241706340973</v>
      </c>
      <c r="AK49" s="676">
        <f t="shared" si="39"/>
        <v>32.142640191744526</v>
      </c>
      <c r="AL49" s="573"/>
      <c r="AN49" s="572"/>
      <c r="AO49" s="14"/>
      <c r="AP49" s="14"/>
      <c r="AQ49" s="14"/>
      <c r="AR49" s="14"/>
      <c r="AS49" s="14"/>
      <c r="AT49" s="14"/>
      <c r="AU49" s="14"/>
      <c r="AV49" s="645"/>
      <c r="AW49" s="629"/>
      <c r="AX49" s="629"/>
      <c r="AY49" s="629"/>
      <c r="AZ49" s="629"/>
      <c r="BA49" s="629"/>
      <c r="BB49" s="629"/>
      <c r="BC49" s="629"/>
      <c r="BD49" s="629"/>
      <c r="BE49" s="629"/>
      <c r="BF49" s="629"/>
      <c r="BG49" s="629"/>
      <c r="BH49" s="629"/>
      <c r="BI49" s="629"/>
      <c r="BJ49" s="629"/>
      <c r="BK49" s="629"/>
      <c r="BL49" s="629"/>
      <c r="BM49" s="629"/>
      <c r="BN49" s="629"/>
      <c r="BO49" s="629"/>
      <c r="BP49" s="629"/>
      <c r="BQ49" s="629"/>
      <c r="BR49" s="629"/>
      <c r="BS49" s="629"/>
      <c r="BT49" s="573"/>
    </row>
    <row r="50" spans="4:72">
      <c r="D50" s="572"/>
      <c r="E50" s="14"/>
      <c r="F50" s="14"/>
      <c r="G50" s="14"/>
      <c r="H50" s="14"/>
      <c r="I50" s="14"/>
      <c r="J50" s="14"/>
      <c r="K50" s="861"/>
      <c r="L50" s="862"/>
      <c r="M50" s="659" t="s">
        <v>465</v>
      </c>
      <c r="N50" s="660">
        <f>N49/$N$26</f>
        <v>0.25468391064770673</v>
      </c>
      <c r="O50" s="661">
        <f t="shared" ref="O50:AK50" si="40">O49/$N$26</f>
        <v>0.53663325422983543</v>
      </c>
      <c r="P50" s="661">
        <f t="shared" si="40"/>
        <v>0.29762709302193063</v>
      </c>
      <c r="Q50" s="662">
        <f t="shared" si="40"/>
        <v>0.19841989116023834</v>
      </c>
      <c r="R50" s="660">
        <f t="shared" si="40"/>
        <v>0.19101293298578007</v>
      </c>
      <c r="S50" s="661">
        <f t="shared" si="40"/>
        <v>0.4024749406723766</v>
      </c>
      <c r="T50" s="661">
        <f t="shared" si="40"/>
        <v>0.22322031976644796</v>
      </c>
      <c r="U50" s="662">
        <f t="shared" si="40"/>
        <v>0.14881491837017874</v>
      </c>
      <c r="V50" s="660">
        <f t="shared" si="40"/>
        <v>0.12734195532385337</v>
      </c>
      <c r="W50" s="661">
        <f t="shared" si="40"/>
        <v>0.26831662711491772</v>
      </c>
      <c r="X50" s="661">
        <f t="shared" si="40"/>
        <v>0.14881354651096532</v>
      </c>
      <c r="Y50" s="662">
        <f t="shared" si="40"/>
        <v>9.9209945580119169E-2</v>
      </c>
      <c r="Z50" s="660">
        <f t="shared" si="40"/>
        <v>8.7426794748130116E-2</v>
      </c>
      <c r="AA50" s="661">
        <f t="shared" si="40"/>
        <v>0.21845226658612446</v>
      </c>
      <c r="AB50" s="661">
        <f t="shared" si="40"/>
        <v>0.10692923236829208</v>
      </c>
      <c r="AC50" s="662">
        <f t="shared" si="40"/>
        <v>5.9878628006574619E-2</v>
      </c>
      <c r="AD50" s="660">
        <f t="shared" si="40"/>
        <v>6.5570096061097594E-2</v>
      </c>
      <c r="AE50" s="661">
        <f t="shared" si="40"/>
        <v>0.16383919993959337</v>
      </c>
      <c r="AF50" s="661">
        <f t="shared" si="40"/>
        <v>8.019692427621905E-2</v>
      </c>
      <c r="AG50" s="662">
        <f t="shared" si="40"/>
        <v>4.4908971004930957E-2</v>
      </c>
      <c r="AH50" s="660">
        <f t="shared" si="40"/>
        <v>4.3713397374065058E-2</v>
      </c>
      <c r="AI50" s="661">
        <f t="shared" si="40"/>
        <v>0.10922613329306223</v>
      </c>
      <c r="AJ50" s="661">
        <f t="shared" si="40"/>
        <v>5.3464616184146038E-2</v>
      </c>
      <c r="AK50" s="662">
        <f t="shared" si="40"/>
        <v>2.993931400328731E-2</v>
      </c>
      <c r="AL50" s="573"/>
      <c r="AN50" s="572"/>
      <c r="AO50" s="14"/>
      <c r="AP50" s="14"/>
      <c r="AQ50" s="14"/>
      <c r="AR50" s="14"/>
      <c r="AS50" s="14"/>
      <c r="AT50" s="14"/>
      <c r="AU50" s="14"/>
      <c r="AV50" s="645"/>
      <c r="AW50" s="629"/>
      <c r="AX50" s="629"/>
      <c r="AY50" s="629"/>
      <c r="AZ50" s="629"/>
      <c r="BA50" s="629"/>
      <c r="BB50" s="629"/>
      <c r="BC50" s="629"/>
      <c r="BD50" s="629"/>
      <c r="BE50" s="629"/>
      <c r="BF50" s="629"/>
      <c r="BG50" s="629"/>
      <c r="BH50" s="629"/>
      <c r="BI50" s="629"/>
      <c r="BJ50" s="629"/>
      <c r="BK50" s="629"/>
      <c r="BL50" s="629"/>
      <c r="BM50" s="629"/>
      <c r="BN50" s="629"/>
      <c r="BO50" s="629"/>
      <c r="BP50" s="629"/>
      <c r="BQ50" s="629"/>
      <c r="BR50" s="629"/>
      <c r="BS50" s="629"/>
      <c r="BT50" s="573"/>
    </row>
    <row r="51" spans="4:72">
      <c r="D51" s="572"/>
      <c r="E51" s="14"/>
      <c r="F51" s="14"/>
      <c r="G51" s="14"/>
      <c r="H51" s="14"/>
      <c r="I51" s="14"/>
      <c r="J51" s="14"/>
      <c r="K51" s="861"/>
      <c r="L51" s="862"/>
      <c r="M51" s="659" t="s">
        <v>466</v>
      </c>
      <c r="N51" s="663">
        <f>AV51</f>
        <v>213.36704241694679</v>
      </c>
      <c r="O51" s="664">
        <f t="shared" ref="O51:AD52" si="41">AW51</f>
        <v>444.6580523428072</v>
      </c>
      <c r="P51" s="664">
        <f t="shared" si="41"/>
        <v>248.21910315879825</v>
      </c>
      <c r="Q51" s="665">
        <f t="shared" si="41"/>
        <v>166.60747058118685</v>
      </c>
      <c r="R51" s="663">
        <f t="shared" si="41"/>
        <v>160.02528181271009</v>
      </c>
      <c r="S51" s="664">
        <f t="shared" si="41"/>
        <v>333.49353925710545</v>
      </c>
      <c r="T51" s="664">
        <f t="shared" si="41"/>
        <v>186.16432736909866</v>
      </c>
      <c r="U51" s="665">
        <f t="shared" si="41"/>
        <v>124.95560293589013</v>
      </c>
      <c r="V51" s="663">
        <f t="shared" si="41"/>
        <v>106.68352120847339</v>
      </c>
      <c r="W51" s="664">
        <f t="shared" si="41"/>
        <v>222.3290261714036</v>
      </c>
      <c r="X51" s="664">
        <f t="shared" si="41"/>
        <v>124.10955157939912</v>
      </c>
      <c r="Y51" s="665">
        <f t="shared" si="41"/>
        <v>83.303735290593423</v>
      </c>
      <c r="Z51" s="663">
        <f t="shared" si="41"/>
        <v>85.105555690862104</v>
      </c>
      <c r="AA51" s="664">
        <f t="shared" si="41"/>
        <v>200.66026304899066</v>
      </c>
      <c r="AB51" s="664">
        <f t="shared" si="41"/>
        <v>101.98202982790912</v>
      </c>
      <c r="AC51" s="665">
        <f t="shared" si="41"/>
        <v>60.366798610807471</v>
      </c>
      <c r="AD51" s="663">
        <f t="shared" si="41"/>
        <v>63.829166768146578</v>
      </c>
      <c r="AE51" s="664">
        <f t="shared" ref="AE51:AK52" si="42">BM51</f>
        <v>150.49519728674301</v>
      </c>
      <c r="AF51" s="664">
        <f t="shared" si="42"/>
        <v>76.486522370931837</v>
      </c>
      <c r="AG51" s="665">
        <f t="shared" si="42"/>
        <v>45.275098958105602</v>
      </c>
      <c r="AH51" s="663">
        <f t="shared" si="42"/>
        <v>42.552777845431052</v>
      </c>
      <c r="AI51" s="664">
        <f t="shared" si="42"/>
        <v>100.33013152449533</v>
      </c>
      <c r="AJ51" s="664">
        <f t="shared" si="42"/>
        <v>50.991014913954558</v>
      </c>
      <c r="AK51" s="665">
        <f t="shared" si="42"/>
        <v>30.183399305403736</v>
      </c>
      <c r="AL51" s="573"/>
      <c r="AN51" s="572"/>
      <c r="AO51" s="14"/>
      <c r="AP51" s="14"/>
      <c r="AQ51" s="14"/>
      <c r="AR51" s="14"/>
      <c r="AS51" s="14"/>
      <c r="AT51" s="14"/>
      <c r="AU51" s="14"/>
      <c r="AV51" s="650">
        <f>SUMPRODUCT($M32:$M40,AV32:AV40)</f>
        <v>213.36704241694679</v>
      </c>
      <c r="AW51" s="650">
        <f t="shared" ref="AW51:BS51" si="43">SUMPRODUCT($M32:$M40,AW32:AW40)</f>
        <v>444.6580523428072</v>
      </c>
      <c r="AX51" s="650">
        <f t="shared" si="43"/>
        <v>248.21910315879825</v>
      </c>
      <c r="AY51" s="650">
        <f t="shared" si="43"/>
        <v>166.60747058118685</v>
      </c>
      <c r="AZ51" s="650">
        <f t="shared" si="43"/>
        <v>160.02528181271009</v>
      </c>
      <c r="BA51" s="650">
        <f t="shared" si="43"/>
        <v>333.49353925710545</v>
      </c>
      <c r="BB51" s="650">
        <f t="shared" si="43"/>
        <v>186.16432736909866</v>
      </c>
      <c r="BC51" s="650">
        <f t="shared" si="43"/>
        <v>124.95560293589013</v>
      </c>
      <c r="BD51" s="650">
        <f t="shared" si="43"/>
        <v>106.68352120847339</v>
      </c>
      <c r="BE51" s="650">
        <f t="shared" si="43"/>
        <v>222.3290261714036</v>
      </c>
      <c r="BF51" s="650">
        <f t="shared" si="43"/>
        <v>124.10955157939912</v>
      </c>
      <c r="BG51" s="650">
        <f t="shared" si="43"/>
        <v>83.303735290593423</v>
      </c>
      <c r="BH51" s="650">
        <f t="shared" si="43"/>
        <v>85.105555690862104</v>
      </c>
      <c r="BI51" s="650">
        <f t="shared" si="43"/>
        <v>200.66026304899066</v>
      </c>
      <c r="BJ51" s="650">
        <f t="shared" si="43"/>
        <v>101.98202982790912</v>
      </c>
      <c r="BK51" s="650">
        <f t="shared" si="43"/>
        <v>60.366798610807471</v>
      </c>
      <c r="BL51" s="650">
        <f t="shared" si="43"/>
        <v>63.829166768146578</v>
      </c>
      <c r="BM51" s="650">
        <f t="shared" si="43"/>
        <v>150.49519728674301</v>
      </c>
      <c r="BN51" s="650">
        <f t="shared" si="43"/>
        <v>76.486522370931837</v>
      </c>
      <c r="BO51" s="650">
        <f t="shared" si="43"/>
        <v>45.275098958105602</v>
      </c>
      <c r="BP51" s="650">
        <f t="shared" si="43"/>
        <v>42.552777845431052</v>
      </c>
      <c r="BQ51" s="650">
        <f t="shared" si="43"/>
        <v>100.33013152449533</v>
      </c>
      <c r="BR51" s="650">
        <f t="shared" si="43"/>
        <v>50.991014913954558</v>
      </c>
      <c r="BS51" s="650">
        <f t="shared" si="43"/>
        <v>30.183399305403736</v>
      </c>
      <c r="BT51" s="573"/>
    </row>
    <row r="52" spans="4:72" ht="15" thickBot="1">
      <c r="D52" s="572"/>
      <c r="E52" s="14"/>
      <c r="F52" s="14"/>
      <c r="G52" s="14"/>
      <c r="H52" s="14"/>
      <c r="I52" s="14"/>
      <c r="J52" s="14"/>
      <c r="K52" s="863"/>
      <c r="L52" s="864"/>
      <c r="M52" s="677" t="s">
        <v>104</v>
      </c>
      <c r="N52" s="678">
        <f>AV52</f>
        <v>0.78034405466368673</v>
      </c>
      <c r="O52" s="679">
        <f t="shared" si="41"/>
        <v>0.7718072932309874</v>
      </c>
      <c r="P52" s="679">
        <f t="shared" si="41"/>
        <v>0.77682472145173853</v>
      </c>
      <c r="Q52" s="680">
        <f t="shared" si="41"/>
        <v>0.78211310391938405</v>
      </c>
      <c r="R52" s="678">
        <f t="shared" si="41"/>
        <v>0.78034405466368673</v>
      </c>
      <c r="S52" s="679">
        <f t="shared" si="41"/>
        <v>0.7718072932309874</v>
      </c>
      <c r="T52" s="679">
        <f t="shared" si="41"/>
        <v>0.77682472145173842</v>
      </c>
      <c r="U52" s="680">
        <f t="shared" si="41"/>
        <v>0.78211310391938416</v>
      </c>
      <c r="V52" s="678">
        <f t="shared" si="41"/>
        <v>0.78034405466368673</v>
      </c>
      <c r="W52" s="679">
        <f t="shared" si="41"/>
        <v>0.7718072932309874</v>
      </c>
      <c r="X52" s="679">
        <f t="shared" si="41"/>
        <v>0.77682472145173853</v>
      </c>
      <c r="Y52" s="680">
        <f t="shared" si="41"/>
        <v>0.78211310391938405</v>
      </c>
      <c r="Z52" s="678">
        <f t="shared" si="41"/>
        <v>0.90672095690015508</v>
      </c>
      <c r="AA52" s="679">
        <f t="shared" si="41"/>
        <v>0.85558885835572851</v>
      </c>
      <c r="AB52" s="679">
        <f t="shared" si="41"/>
        <v>0.8883569433691928</v>
      </c>
      <c r="AC52" s="680">
        <f t="shared" si="41"/>
        <v>0.93904542767323762</v>
      </c>
      <c r="AD52" s="678">
        <f t="shared" si="41"/>
        <v>0.90672095690015508</v>
      </c>
      <c r="AE52" s="679">
        <f t="shared" si="42"/>
        <v>0.85558885835572851</v>
      </c>
      <c r="AF52" s="679">
        <f t="shared" si="42"/>
        <v>0.8883569433691928</v>
      </c>
      <c r="AG52" s="680">
        <f t="shared" si="42"/>
        <v>0.93904542767323784</v>
      </c>
      <c r="AH52" s="678">
        <f t="shared" si="42"/>
        <v>0.90672095690015508</v>
      </c>
      <c r="AI52" s="679">
        <f t="shared" si="42"/>
        <v>0.85558885835572851</v>
      </c>
      <c r="AJ52" s="679">
        <f t="shared" si="42"/>
        <v>0.8883569433691928</v>
      </c>
      <c r="AK52" s="680">
        <f t="shared" si="42"/>
        <v>0.93904542767323762</v>
      </c>
      <c r="AL52" s="573"/>
      <c r="AN52" s="572"/>
      <c r="AO52" s="14"/>
      <c r="AP52" s="14"/>
      <c r="AQ52" s="14"/>
      <c r="AR52" s="14"/>
      <c r="AS52" s="14"/>
      <c r="AT52" s="14"/>
      <c r="AU52" s="14"/>
      <c r="AV52" s="645">
        <f t="shared" ref="AV52:BS52" si="44">AV51/N49</f>
        <v>0.78034405466368673</v>
      </c>
      <c r="AW52" s="645">
        <f t="shared" si="44"/>
        <v>0.7718072932309874</v>
      </c>
      <c r="AX52" s="645">
        <f t="shared" si="44"/>
        <v>0.77682472145173853</v>
      </c>
      <c r="AY52" s="645">
        <f t="shared" si="44"/>
        <v>0.78211310391938405</v>
      </c>
      <c r="AZ52" s="645">
        <f t="shared" si="44"/>
        <v>0.78034405466368673</v>
      </c>
      <c r="BA52" s="645">
        <f t="shared" si="44"/>
        <v>0.7718072932309874</v>
      </c>
      <c r="BB52" s="645">
        <f t="shared" si="44"/>
        <v>0.77682472145173842</v>
      </c>
      <c r="BC52" s="645">
        <f t="shared" si="44"/>
        <v>0.78211310391938416</v>
      </c>
      <c r="BD52" s="645">
        <f t="shared" si="44"/>
        <v>0.78034405466368673</v>
      </c>
      <c r="BE52" s="645">
        <f t="shared" si="44"/>
        <v>0.7718072932309874</v>
      </c>
      <c r="BF52" s="645">
        <f t="shared" si="44"/>
        <v>0.77682472145173853</v>
      </c>
      <c r="BG52" s="645">
        <f t="shared" si="44"/>
        <v>0.78211310391938405</v>
      </c>
      <c r="BH52" s="645">
        <f t="shared" si="44"/>
        <v>0.90672095690015508</v>
      </c>
      <c r="BI52" s="645">
        <f t="shared" si="44"/>
        <v>0.85558885835572851</v>
      </c>
      <c r="BJ52" s="645">
        <f t="shared" si="44"/>
        <v>0.8883569433691928</v>
      </c>
      <c r="BK52" s="645">
        <f t="shared" si="44"/>
        <v>0.93904542767323762</v>
      </c>
      <c r="BL52" s="645">
        <f t="shared" si="44"/>
        <v>0.90672095690015508</v>
      </c>
      <c r="BM52" s="645">
        <f t="shared" si="44"/>
        <v>0.85558885835572851</v>
      </c>
      <c r="BN52" s="645">
        <f t="shared" si="44"/>
        <v>0.8883569433691928</v>
      </c>
      <c r="BO52" s="645">
        <f t="shared" si="44"/>
        <v>0.93904542767323784</v>
      </c>
      <c r="BP52" s="645">
        <f t="shared" si="44"/>
        <v>0.90672095690015508</v>
      </c>
      <c r="BQ52" s="645">
        <f t="shared" si="44"/>
        <v>0.85558885835572851</v>
      </c>
      <c r="BR52" s="645">
        <f t="shared" si="44"/>
        <v>0.8883569433691928</v>
      </c>
      <c r="BS52" s="645">
        <f t="shared" si="44"/>
        <v>0.93904542767323762</v>
      </c>
      <c r="BT52" s="573"/>
    </row>
    <row r="53" spans="4:72" ht="15" thickTop="1">
      <c r="D53" s="572"/>
      <c r="E53" s="14"/>
      <c r="F53" s="14"/>
      <c r="G53" s="14"/>
      <c r="H53" s="14"/>
      <c r="I53" s="14"/>
      <c r="J53" s="14"/>
      <c r="K53" s="576"/>
      <c r="L53" s="576"/>
      <c r="M53" s="576"/>
      <c r="N53" s="628"/>
      <c r="O53" s="628"/>
      <c r="P53" s="628"/>
      <c r="Q53" s="628"/>
      <c r="R53" s="628"/>
      <c r="S53" s="628"/>
      <c r="T53" s="628"/>
      <c r="U53" s="628"/>
      <c r="V53" s="628"/>
      <c r="W53" s="628"/>
      <c r="X53" s="628"/>
      <c r="Y53" s="628"/>
      <c r="Z53" s="628"/>
      <c r="AA53" s="628"/>
      <c r="AB53" s="628"/>
      <c r="AC53" s="628"/>
      <c r="AD53" s="628"/>
      <c r="AE53" s="628"/>
      <c r="AF53" s="628"/>
      <c r="AG53" s="628"/>
      <c r="AH53" s="628"/>
      <c r="AI53" s="628"/>
      <c r="AJ53" s="628"/>
      <c r="AK53" s="628"/>
      <c r="AL53" s="573"/>
      <c r="AN53" s="572"/>
      <c r="AO53" s="14"/>
      <c r="AP53" s="14"/>
      <c r="AQ53" s="14"/>
      <c r="AR53" s="14"/>
      <c r="AS53" s="14"/>
      <c r="AT53" s="14"/>
      <c r="AU53" s="576"/>
      <c r="AV53" s="696"/>
      <c r="AW53" s="630"/>
      <c r="AX53" s="630"/>
      <c r="AY53" s="630"/>
      <c r="AZ53" s="630"/>
      <c r="BA53" s="630"/>
      <c r="BB53" s="630"/>
      <c r="BC53" s="630"/>
      <c r="BD53" s="630"/>
      <c r="BE53" s="630"/>
      <c r="BF53" s="630"/>
      <c r="BG53" s="630"/>
      <c r="BH53" s="630"/>
      <c r="BI53" s="630"/>
      <c r="BJ53" s="630"/>
      <c r="BK53" s="630"/>
      <c r="BL53" s="630"/>
      <c r="BM53" s="630"/>
      <c r="BN53" s="630"/>
      <c r="BO53" s="630"/>
      <c r="BP53" s="630"/>
      <c r="BQ53" s="630"/>
      <c r="BR53" s="630"/>
      <c r="BS53" s="630"/>
      <c r="BT53" s="573"/>
    </row>
    <row r="54" spans="4:72">
      <c r="D54" s="572"/>
      <c r="E54" s="14"/>
      <c r="F54" s="14"/>
      <c r="G54" s="14"/>
      <c r="H54" s="14"/>
      <c r="I54" s="14"/>
      <c r="J54" s="14"/>
      <c r="K54" s="14"/>
      <c r="L54" s="14"/>
      <c r="M54" s="14"/>
      <c r="N54" s="682">
        <f>G1</f>
        <v>7</v>
      </c>
      <c r="O54" s="682">
        <f>N54</f>
        <v>7</v>
      </c>
      <c r="P54" s="682">
        <f t="shared" ref="P54:Q54" si="45">O54</f>
        <v>7</v>
      </c>
      <c r="Q54" s="682">
        <f t="shared" si="45"/>
        <v>7</v>
      </c>
      <c r="R54" s="682">
        <f>N54+3</f>
        <v>10</v>
      </c>
      <c r="S54" s="682">
        <f t="shared" ref="S54:Y54" si="46">O54+3</f>
        <v>10</v>
      </c>
      <c r="T54" s="682">
        <f t="shared" si="46"/>
        <v>10</v>
      </c>
      <c r="U54" s="682">
        <f t="shared" si="46"/>
        <v>10</v>
      </c>
      <c r="V54" s="682">
        <f t="shared" si="46"/>
        <v>13</v>
      </c>
      <c r="W54" s="682">
        <f t="shared" si="46"/>
        <v>13</v>
      </c>
      <c r="X54" s="682">
        <f t="shared" si="46"/>
        <v>13</v>
      </c>
      <c r="Y54" s="682">
        <f t="shared" si="46"/>
        <v>13</v>
      </c>
      <c r="Z54" s="682">
        <f>N54</f>
        <v>7</v>
      </c>
      <c r="AA54" s="682">
        <f t="shared" ref="AA54:AK54" si="47">O54</f>
        <v>7</v>
      </c>
      <c r="AB54" s="682">
        <f t="shared" si="47"/>
        <v>7</v>
      </c>
      <c r="AC54" s="682">
        <f t="shared" si="47"/>
        <v>7</v>
      </c>
      <c r="AD54" s="682">
        <f t="shared" si="47"/>
        <v>10</v>
      </c>
      <c r="AE54" s="682">
        <f t="shared" si="47"/>
        <v>10</v>
      </c>
      <c r="AF54" s="682">
        <f t="shared" si="47"/>
        <v>10</v>
      </c>
      <c r="AG54" s="682">
        <f t="shared" si="47"/>
        <v>10</v>
      </c>
      <c r="AH54" s="682">
        <f t="shared" si="47"/>
        <v>13</v>
      </c>
      <c r="AI54" s="682">
        <f t="shared" si="47"/>
        <v>13</v>
      </c>
      <c r="AJ54" s="682">
        <f t="shared" si="47"/>
        <v>13</v>
      </c>
      <c r="AK54" s="682">
        <f t="shared" si="47"/>
        <v>13</v>
      </c>
      <c r="AL54" s="573"/>
      <c r="AN54" s="572"/>
      <c r="AO54" s="14"/>
      <c r="AP54" s="14"/>
      <c r="AQ54" s="14"/>
      <c r="AR54" s="14"/>
      <c r="AS54" s="14"/>
      <c r="AT54" s="14"/>
      <c r="AU54" s="14"/>
      <c r="AV54" s="697"/>
      <c r="AW54" s="629"/>
      <c r="AX54" s="629"/>
      <c r="AY54" s="629"/>
      <c r="AZ54" s="629"/>
      <c r="BA54" s="629"/>
      <c r="BB54" s="629"/>
      <c r="BC54" s="629"/>
      <c r="BD54" s="629"/>
      <c r="BE54" s="629"/>
      <c r="BF54" s="629"/>
      <c r="BG54" s="629"/>
      <c r="BH54" s="629"/>
      <c r="BI54" s="629"/>
      <c r="BJ54" s="629"/>
      <c r="BK54" s="629"/>
      <c r="BL54" s="629"/>
      <c r="BM54" s="629"/>
      <c r="BN54" s="629"/>
      <c r="BO54" s="629"/>
      <c r="BP54" s="629"/>
      <c r="BQ54" s="629"/>
      <c r="BR54" s="629"/>
      <c r="BS54" s="629"/>
      <c r="BT54" s="573"/>
    </row>
    <row r="55" spans="4:72" ht="15" thickBot="1">
      <c r="D55" s="577"/>
      <c r="E55" s="578"/>
      <c r="F55" s="578"/>
      <c r="G55" s="578"/>
      <c r="H55" s="578"/>
      <c r="I55" s="578"/>
      <c r="J55" s="578"/>
      <c r="K55" s="578"/>
      <c r="L55" s="578"/>
      <c r="M55" s="578"/>
      <c r="N55" s="578"/>
      <c r="O55" s="578"/>
      <c r="P55" s="578"/>
      <c r="Q55" s="578"/>
      <c r="R55" s="578"/>
      <c r="S55" s="578"/>
      <c r="T55" s="578"/>
      <c r="U55" s="578"/>
      <c r="V55" s="578"/>
      <c r="W55" s="578"/>
      <c r="X55" s="578"/>
      <c r="Y55" s="578"/>
      <c r="Z55" s="578"/>
      <c r="AA55" s="578"/>
      <c r="AB55" s="578"/>
      <c r="AC55" s="578"/>
      <c r="AD55" s="578"/>
      <c r="AE55" s="578"/>
      <c r="AF55" s="578"/>
      <c r="AG55" s="578"/>
      <c r="AH55" s="578"/>
      <c r="AI55" s="578"/>
      <c r="AJ55" s="578"/>
      <c r="AK55" s="578"/>
      <c r="AL55" s="579"/>
      <c r="AN55" s="577"/>
      <c r="AO55" s="578"/>
      <c r="AP55" s="578"/>
      <c r="AQ55" s="578"/>
      <c r="AR55" s="578"/>
      <c r="AS55" s="578"/>
      <c r="AT55" s="578"/>
      <c r="AU55" s="578"/>
      <c r="AV55" s="578"/>
      <c r="AW55" s="578"/>
      <c r="AX55" s="578"/>
      <c r="AY55" s="578"/>
      <c r="AZ55" s="578"/>
      <c r="BA55" s="578"/>
      <c r="BB55" s="578"/>
      <c r="BC55" s="578"/>
      <c r="BD55" s="578"/>
      <c r="BE55" s="578"/>
      <c r="BF55" s="578"/>
      <c r="BG55" s="578"/>
      <c r="BH55" s="578"/>
      <c r="BI55" s="578"/>
      <c r="BJ55" s="578"/>
      <c r="BK55" s="578"/>
      <c r="BL55" s="578"/>
      <c r="BM55" s="578"/>
      <c r="BN55" s="578"/>
      <c r="BO55" s="578"/>
      <c r="BP55" s="578"/>
      <c r="BQ55" s="578"/>
      <c r="BR55" s="578"/>
      <c r="BS55" s="578"/>
      <c r="BT55" s="579"/>
    </row>
    <row r="56" spans="4:72" ht="15" thickBot="1"/>
    <row r="57" spans="4:72">
      <c r="D57" s="569"/>
      <c r="E57" s="570"/>
      <c r="F57" s="570"/>
      <c r="G57" s="570"/>
      <c r="H57" s="570"/>
      <c r="I57" s="570"/>
      <c r="J57" s="570"/>
      <c r="K57" s="570"/>
      <c r="L57" s="570"/>
      <c r="M57" s="570"/>
      <c r="N57" s="570"/>
      <c r="O57" s="570"/>
      <c r="P57" s="570"/>
      <c r="Q57" s="570"/>
      <c r="R57" s="570"/>
      <c r="S57" s="570"/>
      <c r="T57" s="570"/>
      <c r="U57" s="570"/>
      <c r="V57" s="570"/>
      <c r="W57" s="570"/>
      <c r="X57" s="570"/>
      <c r="Y57" s="570"/>
      <c r="Z57" s="570"/>
      <c r="AA57" s="570"/>
      <c r="AB57" s="570"/>
      <c r="AC57" s="570"/>
      <c r="AD57" s="570"/>
      <c r="AE57" s="570"/>
      <c r="AF57" s="570"/>
      <c r="AG57" s="570"/>
      <c r="AH57" s="570"/>
      <c r="AI57" s="570"/>
      <c r="AJ57" s="570"/>
      <c r="AK57" s="570"/>
      <c r="AL57" s="571"/>
    </row>
    <row r="58" spans="4:72" ht="18">
      <c r="D58" s="572"/>
      <c r="E58" s="894" t="s">
        <v>433</v>
      </c>
      <c r="F58" s="894"/>
      <c r="G58" s="894"/>
      <c r="H58" s="894"/>
      <c r="I58" s="894"/>
      <c r="J58" s="894"/>
      <c r="K58" s="894"/>
      <c r="L58" s="894"/>
      <c r="M58" s="894"/>
      <c r="N58" s="894"/>
      <c r="O58" s="894"/>
      <c r="P58" s="894"/>
      <c r="Q58" s="894"/>
      <c r="R58" s="894"/>
      <c r="S58" s="894"/>
      <c r="T58" s="894"/>
      <c r="U58" s="894"/>
      <c r="V58" s="894"/>
      <c r="W58" s="894"/>
      <c r="X58" s="894"/>
      <c r="Y58" s="894"/>
      <c r="Z58" s="14"/>
      <c r="AL58" s="573"/>
    </row>
    <row r="59" spans="4:72" ht="15" thickBot="1">
      <c r="D59" s="572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L59" s="573"/>
    </row>
    <row r="60" spans="4:72" ht="15" thickBot="1">
      <c r="D60" s="572"/>
      <c r="E60" s="14"/>
      <c r="F60" s="14"/>
      <c r="G60" s="14"/>
      <c r="H60" s="14"/>
      <c r="J60" s="11"/>
      <c r="K60" s="11"/>
      <c r="L60" s="12"/>
      <c r="M60" s="581" t="s">
        <v>428</v>
      </c>
      <c r="N60" s="610">
        <f>'SCE Savings'!G21</f>
        <v>0.63791670123958144</v>
      </c>
      <c r="O60" s="612">
        <f>'PG&amp;E Savings'!G21</f>
        <v>1.1550409733094398</v>
      </c>
      <c r="P60" s="612">
        <f>'SDG&amp;E Savings'!G21</f>
        <v>0.7292963560585819</v>
      </c>
      <c r="Q60" s="614">
        <f>'SCG Savings'!G21</f>
        <v>0.50327894648736216</v>
      </c>
      <c r="R60" s="14"/>
      <c r="S60" s="14"/>
      <c r="T60" s="14"/>
      <c r="U60" s="14"/>
      <c r="V60" s="14"/>
      <c r="W60" s="14"/>
      <c r="X60" s="14"/>
      <c r="Y60" s="14"/>
      <c r="Z60" s="14"/>
      <c r="AL60" s="573"/>
    </row>
    <row r="61" spans="4:72">
      <c r="D61" s="572"/>
      <c r="E61" s="14"/>
      <c r="F61" s="14"/>
      <c r="G61" s="14"/>
      <c r="H61" s="14"/>
      <c r="I61" s="14"/>
      <c r="J61" s="14"/>
      <c r="K61" s="14"/>
      <c r="L61" s="14"/>
      <c r="M61" s="14"/>
      <c r="N61" s="574" t="s">
        <v>387</v>
      </c>
      <c r="O61" s="574" t="s">
        <v>387</v>
      </c>
      <c r="P61" s="574" t="s">
        <v>387</v>
      </c>
      <c r="Q61" s="574" t="s">
        <v>387</v>
      </c>
      <c r="R61" s="574" t="s">
        <v>387</v>
      </c>
      <c r="S61" s="574" t="s">
        <v>387</v>
      </c>
      <c r="T61" s="574" t="s">
        <v>387</v>
      </c>
      <c r="U61" s="574" t="s">
        <v>387</v>
      </c>
      <c r="V61" s="574" t="s">
        <v>387</v>
      </c>
      <c r="W61" s="574" t="s">
        <v>387</v>
      </c>
      <c r="X61" s="574" t="s">
        <v>387</v>
      </c>
      <c r="Y61" s="574" t="s">
        <v>387</v>
      </c>
      <c r="Z61" s="574" t="s">
        <v>387</v>
      </c>
      <c r="AA61" s="574" t="s">
        <v>387</v>
      </c>
      <c r="AB61" s="574" t="s">
        <v>387</v>
      </c>
      <c r="AC61" s="574" t="s">
        <v>387</v>
      </c>
      <c r="AD61" s="574" t="s">
        <v>387</v>
      </c>
      <c r="AE61" s="574" t="s">
        <v>387</v>
      </c>
      <c r="AF61" s="574" t="s">
        <v>387</v>
      </c>
      <c r="AG61" s="574" t="s">
        <v>387</v>
      </c>
      <c r="AH61" s="574" t="s">
        <v>387</v>
      </c>
      <c r="AI61" s="574" t="s">
        <v>387</v>
      </c>
      <c r="AJ61" s="574" t="s">
        <v>387</v>
      </c>
      <c r="AK61" s="574" t="s">
        <v>387</v>
      </c>
      <c r="AL61" s="573"/>
    </row>
    <row r="62" spans="4:72">
      <c r="D62" s="572"/>
      <c r="E62" s="14"/>
      <c r="F62" s="14"/>
      <c r="G62" s="14"/>
      <c r="H62" s="14"/>
      <c r="I62" s="14"/>
      <c r="J62" s="14"/>
      <c r="K62" s="575"/>
      <c r="L62" s="575"/>
      <c r="M62" s="575"/>
      <c r="N62" s="574" t="s">
        <v>345</v>
      </c>
      <c r="O62" s="574" t="s">
        <v>345</v>
      </c>
      <c r="P62" s="574" t="s">
        <v>345</v>
      </c>
      <c r="Q62" s="574" t="s">
        <v>345</v>
      </c>
      <c r="R62" s="574" t="s">
        <v>345</v>
      </c>
      <c r="S62" s="574" t="s">
        <v>345</v>
      </c>
      <c r="T62" s="574" t="s">
        <v>345</v>
      </c>
      <c r="U62" s="574" t="s">
        <v>345</v>
      </c>
      <c r="V62" s="574" t="s">
        <v>345</v>
      </c>
      <c r="W62" s="574" t="s">
        <v>345</v>
      </c>
      <c r="X62" s="574" t="s">
        <v>345</v>
      </c>
      <c r="Y62" s="574" t="s">
        <v>345</v>
      </c>
      <c r="Z62" s="574" t="s">
        <v>399</v>
      </c>
      <c r="AA62" s="574" t="s">
        <v>399</v>
      </c>
      <c r="AB62" s="574" t="s">
        <v>399</v>
      </c>
      <c r="AC62" s="574" t="s">
        <v>399</v>
      </c>
      <c r="AD62" s="574" t="s">
        <v>399</v>
      </c>
      <c r="AE62" s="574" t="s">
        <v>399</v>
      </c>
      <c r="AF62" s="574" t="s">
        <v>399</v>
      </c>
      <c r="AG62" s="574" t="s">
        <v>399</v>
      </c>
      <c r="AH62" s="574" t="s">
        <v>399</v>
      </c>
      <c r="AI62" s="574" t="s">
        <v>399</v>
      </c>
      <c r="AJ62" s="574" t="s">
        <v>399</v>
      </c>
      <c r="AK62" s="574" t="s">
        <v>399</v>
      </c>
      <c r="AL62" s="573"/>
    </row>
    <row r="63" spans="4:72">
      <c r="D63" s="572"/>
      <c r="E63" s="14"/>
      <c r="F63" s="14"/>
      <c r="G63" s="14"/>
      <c r="H63" s="14"/>
      <c r="I63" s="14"/>
      <c r="J63" s="14"/>
      <c r="K63" s="657"/>
      <c r="L63" s="656" t="s">
        <v>458</v>
      </c>
      <c r="M63" s="658"/>
      <c r="N63" s="856" t="s">
        <v>419</v>
      </c>
      <c r="O63" s="857"/>
      <c r="P63" s="857"/>
      <c r="Q63" s="858"/>
      <c r="R63" s="856" t="s">
        <v>420</v>
      </c>
      <c r="S63" s="857"/>
      <c r="T63" s="857"/>
      <c r="U63" s="858"/>
      <c r="V63" s="856" t="s">
        <v>421</v>
      </c>
      <c r="W63" s="857"/>
      <c r="X63" s="857"/>
      <c r="Y63" s="858"/>
      <c r="Z63" s="856" t="s">
        <v>419</v>
      </c>
      <c r="AA63" s="857"/>
      <c r="AB63" s="857"/>
      <c r="AC63" s="858"/>
      <c r="AD63" s="856" t="s">
        <v>420</v>
      </c>
      <c r="AE63" s="857"/>
      <c r="AF63" s="857"/>
      <c r="AG63" s="858"/>
      <c r="AH63" s="856" t="s">
        <v>421</v>
      </c>
      <c r="AI63" s="857"/>
      <c r="AJ63" s="857"/>
      <c r="AK63" s="858"/>
      <c r="AL63" s="573"/>
    </row>
    <row r="64" spans="4:72" ht="15" customHeight="1">
      <c r="D64" s="572"/>
      <c r="E64" s="867" t="s">
        <v>332</v>
      </c>
      <c r="F64" s="868"/>
      <c r="G64" s="868"/>
      <c r="H64" s="868"/>
      <c r="I64" s="868"/>
      <c r="J64" s="869"/>
      <c r="K64" s="873" t="s">
        <v>469</v>
      </c>
      <c r="L64" s="865" t="s">
        <v>459</v>
      </c>
      <c r="M64" s="866"/>
      <c r="N64" s="853" t="s">
        <v>423</v>
      </c>
      <c r="O64" s="854"/>
      <c r="P64" s="854"/>
      <c r="Q64" s="855"/>
      <c r="R64" s="853" t="s">
        <v>423</v>
      </c>
      <c r="S64" s="854"/>
      <c r="T64" s="854"/>
      <c r="U64" s="855"/>
      <c r="V64" s="853" t="s">
        <v>423</v>
      </c>
      <c r="W64" s="854"/>
      <c r="X64" s="854"/>
      <c r="Y64" s="855"/>
      <c r="Z64" s="853" t="s">
        <v>424</v>
      </c>
      <c r="AA64" s="854"/>
      <c r="AB64" s="854"/>
      <c r="AC64" s="855"/>
      <c r="AD64" s="853" t="s">
        <v>424</v>
      </c>
      <c r="AE64" s="854"/>
      <c r="AF64" s="854"/>
      <c r="AG64" s="855"/>
      <c r="AH64" s="853" t="s">
        <v>424</v>
      </c>
      <c r="AI64" s="854"/>
      <c r="AJ64" s="854"/>
      <c r="AK64" s="855"/>
      <c r="AL64" s="573"/>
    </row>
    <row r="65" spans="4:38">
      <c r="D65" s="572"/>
      <c r="E65" s="870"/>
      <c r="F65" s="871"/>
      <c r="G65" s="871"/>
      <c r="H65" s="871"/>
      <c r="I65" s="871"/>
      <c r="J65" s="872"/>
      <c r="K65" s="874"/>
      <c r="L65" s="654" t="s">
        <v>460</v>
      </c>
      <c r="M65" s="639" t="s">
        <v>461</v>
      </c>
      <c r="N65" s="517" t="s">
        <v>16</v>
      </c>
      <c r="O65" s="555" t="s">
        <v>237</v>
      </c>
      <c r="P65" s="555" t="s">
        <v>395</v>
      </c>
      <c r="Q65" s="507" t="s">
        <v>301</v>
      </c>
      <c r="R65" s="517" t="s">
        <v>16</v>
      </c>
      <c r="S65" s="555" t="s">
        <v>237</v>
      </c>
      <c r="T65" s="555" t="s">
        <v>395</v>
      </c>
      <c r="U65" s="507" t="s">
        <v>301</v>
      </c>
      <c r="V65" s="517" t="s">
        <v>16</v>
      </c>
      <c r="W65" s="555" t="s">
        <v>237</v>
      </c>
      <c r="X65" s="555" t="s">
        <v>395</v>
      </c>
      <c r="Y65" s="507" t="s">
        <v>301</v>
      </c>
      <c r="Z65" s="517" t="s">
        <v>16</v>
      </c>
      <c r="AA65" s="555" t="s">
        <v>237</v>
      </c>
      <c r="AB65" s="555" t="s">
        <v>395</v>
      </c>
      <c r="AC65" s="507" t="s">
        <v>301</v>
      </c>
      <c r="AD65" s="517" t="s">
        <v>16</v>
      </c>
      <c r="AE65" s="555" t="s">
        <v>237</v>
      </c>
      <c r="AF65" s="555" t="s">
        <v>395</v>
      </c>
      <c r="AG65" s="507" t="s">
        <v>301</v>
      </c>
      <c r="AH65" s="517" t="s">
        <v>16</v>
      </c>
      <c r="AI65" s="555" t="s">
        <v>237</v>
      </c>
      <c r="AJ65" s="555" t="s">
        <v>395</v>
      </c>
      <c r="AK65" s="507" t="s">
        <v>301</v>
      </c>
      <c r="AL65" s="573"/>
    </row>
    <row r="66" spans="4:38">
      <c r="D66" s="572"/>
      <c r="E66" s="477" t="s">
        <v>333</v>
      </c>
      <c r="F66" s="478"/>
      <c r="G66" s="478"/>
      <c r="H66" s="478"/>
      <c r="I66" s="478"/>
      <c r="J66" s="479"/>
      <c r="K66" s="531">
        <f>K32</f>
        <v>0</v>
      </c>
      <c r="L66" s="640">
        <f t="shared" ref="L66:M66" si="48">L32</f>
        <v>0</v>
      </c>
      <c r="M66" s="640">
        <f t="shared" si="48"/>
        <v>0</v>
      </c>
      <c r="N66" s="597">
        <f t="shared" ref="N66:AK66" si="49">VLOOKUP(N$31&amp;N$27&amp;N$28,t.MFAMCommonUESSummary,N88,FALSE)</f>
        <v>9.7792912625686956E-2</v>
      </c>
      <c r="O66" s="598">
        <f t="shared" si="49"/>
        <v>0.21296290278920008</v>
      </c>
      <c r="P66" s="598">
        <f t="shared" si="49"/>
        <v>0.1169018825956588</v>
      </c>
      <c r="Q66" s="599">
        <f t="shared" si="49"/>
        <v>7.5681020298334858E-2</v>
      </c>
      <c r="R66" s="597">
        <f t="shared" si="49"/>
        <v>7.3344684469265217E-2</v>
      </c>
      <c r="S66" s="598">
        <f t="shared" si="49"/>
        <v>0.15972217709190009</v>
      </c>
      <c r="T66" s="598">
        <f t="shared" si="49"/>
        <v>8.7676411946744109E-2</v>
      </c>
      <c r="U66" s="599">
        <f t="shared" si="49"/>
        <v>5.6760765223751147E-2</v>
      </c>
      <c r="V66" s="597">
        <f t="shared" si="49"/>
        <v>4.8896456312843478E-2</v>
      </c>
      <c r="W66" s="598">
        <f t="shared" si="49"/>
        <v>0.10648145139460004</v>
      </c>
      <c r="X66" s="598">
        <f t="shared" si="49"/>
        <v>5.8450941297829399E-2</v>
      </c>
      <c r="Y66" s="599">
        <f t="shared" si="49"/>
        <v>3.7840510149167429E-2</v>
      </c>
      <c r="Z66" s="597">
        <f t="shared" si="49"/>
        <v>1.6068201612096659E-2</v>
      </c>
      <c r="AA66" s="598">
        <f t="shared" si="49"/>
        <v>5.6868487713632516E-2</v>
      </c>
      <c r="AB66" s="598">
        <f t="shared" si="49"/>
        <v>2.2304785317025528E-2</v>
      </c>
      <c r="AC66" s="599">
        <f t="shared" si="49"/>
        <v>8.2240624862631589E-3</v>
      </c>
      <c r="AD66" s="597">
        <f t="shared" si="49"/>
        <v>1.2051151209072493E-2</v>
      </c>
      <c r="AE66" s="598">
        <f t="shared" si="49"/>
        <v>4.2651365785224396E-2</v>
      </c>
      <c r="AF66" s="598">
        <f t="shared" si="49"/>
        <v>1.6728588987769147E-2</v>
      </c>
      <c r="AG66" s="599">
        <f t="shared" si="49"/>
        <v>6.1680468646973692E-3</v>
      </c>
      <c r="AH66" s="597">
        <f t="shared" si="49"/>
        <v>8.0341008060483294E-3</v>
      </c>
      <c r="AI66" s="598">
        <f t="shared" si="49"/>
        <v>2.8434243856816258E-2</v>
      </c>
      <c r="AJ66" s="598">
        <f t="shared" si="49"/>
        <v>1.1152392658512764E-2</v>
      </c>
      <c r="AK66" s="599">
        <f t="shared" si="49"/>
        <v>4.1120312431315795E-3</v>
      </c>
      <c r="AL66" s="573"/>
    </row>
    <row r="67" spans="4:38">
      <c r="D67" s="572"/>
      <c r="E67" s="477" t="s">
        <v>334</v>
      </c>
      <c r="F67" s="478"/>
      <c r="G67" s="478"/>
      <c r="H67" s="478"/>
      <c r="I67" s="478"/>
      <c r="J67" s="479"/>
      <c r="K67" s="531">
        <f t="shared" ref="K67:M74" si="50">K33</f>
        <v>0</v>
      </c>
      <c r="L67" s="640">
        <f t="shared" si="50"/>
        <v>0</v>
      </c>
      <c r="M67" s="640">
        <f t="shared" si="50"/>
        <v>0</v>
      </c>
      <c r="N67" s="597">
        <v>0</v>
      </c>
      <c r="O67" s="598">
        <v>0</v>
      </c>
      <c r="P67" s="598">
        <v>0</v>
      </c>
      <c r="Q67" s="599">
        <v>0</v>
      </c>
      <c r="R67" s="597">
        <v>0</v>
      </c>
      <c r="S67" s="598">
        <v>0</v>
      </c>
      <c r="T67" s="598">
        <v>0</v>
      </c>
      <c r="U67" s="599">
        <v>0</v>
      </c>
      <c r="V67" s="597">
        <v>0</v>
      </c>
      <c r="W67" s="598">
        <v>0</v>
      </c>
      <c r="X67" s="598">
        <v>0</v>
      </c>
      <c r="Y67" s="599">
        <v>0</v>
      </c>
      <c r="Z67" s="597">
        <v>0</v>
      </c>
      <c r="AA67" s="598">
        <v>0</v>
      </c>
      <c r="AB67" s="598">
        <v>0</v>
      </c>
      <c r="AC67" s="599">
        <v>0</v>
      </c>
      <c r="AD67" s="597">
        <v>0</v>
      </c>
      <c r="AE67" s="598">
        <v>0</v>
      </c>
      <c r="AF67" s="598">
        <v>0</v>
      </c>
      <c r="AG67" s="599">
        <v>0</v>
      </c>
      <c r="AH67" s="597">
        <v>0</v>
      </c>
      <c r="AI67" s="598">
        <v>0</v>
      </c>
      <c r="AJ67" s="598">
        <v>0</v>
      </c>
      <c r="AK67" s="599">
        <v>0</v>
      </c>
      <c r="AL67" s="573"/>
    </row>
    <row r="68" spans="4:38">
      <c r="D68" s="572"/>
      <c r="E68" s="477" t="s">
        <v>335</v>
      </c>
      <c r="F68" s="478"/>
      <c r="G68" s="478"/>
      <c r="H68" s="478"/>
      <c r="I68" s="478"/>
      <c r="J68" s="479"/>
      <c r="K68" s="531">
        <f t="shared" si="50"/>
        <v>0</v>
      </c>
      <c r="L68" s="640">
        <f t="shared" si="50"/>
        <v>0.16666666666666666</v>
      </c>
      <c r="M68" s="640">
        <f t="shared" si="50"/>
        <v>0.2</v>
      </c>
      <c r="N68" s="597">
        <v>0</v>
      </c>
      <c r="O68" s="598">
        <v>0</v>
      </c>
      <c r="P68" s="598">
        <v>0</v>
      </c>
      <c r="Q68" s="599">
        <v>0</v>
      </c>
      <c r="R68" s="597">
        <v>0</v>
      </c>
      <c r="S68" s="598">
        <v>0</v>
      </c>
      <c r="T68" s="598">
        <v>0</v>
      </c>
      <c r="U68" s="599">
        <v>0</v>
      </c>
      <c r="V68" s="597">
        <v>0</v>
      </c>
      <c r="W68" s="598">
        <v>0</v>
      </c>
      <c r="X68" s="598">
        <v>0</v>
      </c>
      <c r="Y68" s="599">
        <v>0</v>
      </c>
      <c r="Z68" s="597">
        <v>0</v>
      </c>
      <c r="AA68" s="598">
        <v>0</v>
      </c>
      <c r="AB68" s="598">
        <v>0</v>
      </c>
      <c r="AC68" s="599">
        <v>0</v>
      </c>
      <c r="AD68" s="597">
        <v>0</v>
      </c>
      <c r="AE68" s="598">
        <v>0</v>
      </c>
      <c r="AF68" s="598">
        <v>0</v>
      </c>
      <c r="AG68" s="599">
        <v>0</v>
      </c>
      <c r="AH68" s="597">
        <v>0</v>
      </c>
      <c r="AI68" s="598">
        <v>0</v>
      </c>
      <c r="AJ68" s="598">
        <v>0</v>
      </c>
      <c r="AK68" s="599">
        <v>0</v>
      </c>
      <c r="AL68" s="573"/>
    </row>
    <row r="69" spans="4:38">
      <c r="D69" s="572"/>
      <c r="E69" s="477" t="s">
        <v>336</v>
      </c>
      <c r="F69" s="478"/>
      <c r="G69" s="478"/>
      <c r="H69" s="478"/>
      <c r="I69" s="478"/>
      <c r="J69" s="479"/>
      <c r="K69" s="531">
        <f t="shared" si="50"/>
        <v>0</v>
      </c>
      <c r="L69" s="640">
        <f t="shared" si="50"/>
        <v>0.16666666666666666</v>
      </c>
      <c r="M69" s="640">
        <f t="shared" si="50"/>
        <v>0.1</v>
      </c>
      <c r="N69" s="597">
        <f t="shared" ref="N69:AK69" si="51">VLOOKUP(N$31&amp;N$27&amp;N$28,t.MFAMCommonUESSummary,N88,FALSE)</f>
        <v>9.7792912625686956E-2</v>
      </c>
      <c r="O69" s="598">
        <f t="shared" si="51"/>
        <v>0.21296290278920008</v>
      </c>
      <c r="P69" s="598">
        <f t="shared" si="51"/>
        <v>0.1169018825956588</v>
      </c>
      <c r="Q69" s="599">
        <f t="shared" si="51"/>
        <v>7.5681020298334858E-2</v>
      </c>
      <c r="R69" s="597">
        <f t="shared" si="51"/>
        <v>7.3344684469265217E-2</v>
      </c>
      <c r="S69" s="598">
        <f t="shared" si="51"/>
        <v>0.15972217709190009</v>
      </c>
      <c r="T69" s="598">
        <f t="shared" si="51"/>
        <v>8.7676411946744109E-2</v>
      </c>
      <c r="U69" s="599">
        <f t="shared" si="51"/>
        <v>5.6760765223751147E-2</v>
      </c>
      <c r="V69" s="597">
        <f t="shared" si="51"/>
        <v>4.8896456312843478E-2</v>
      </c>
      <c r="W69" s="598">
        <f t="shared" si="51"/>
        <v>0.10648145139460004</v>
      </c>
      <c r="X69" s="598">
        <f t="shared" si="51"/>
        <v>5.8450941297829399E-2</v>
      </c>
      <c r="Y69" s="599">
        <f t="shared" si="51"/>
        <v>3.7840510149167429E-2</v>
      </c>
      <c r="Z69" s="597">
        <f t="shared" si="51"/>
        <v>1.6068201612096659E-2</v>
      </c>
      <c r="AA69" s="598">
        <f t="shared" si="51"/>
        <v>5.6868487713632516E-2</v>
      </c>
      <c r="AB69" s="598">
        <f t="shared" si="51"/>
        <v>2.2304785317025528E-2</v>
      </c>
      <c r="AC69" s="599">
        <f t="shared" si="51"/>
        <v>8.2240624862631589E-3</v>
      </c>
      <c r="AD69" s="597">
        <f t="shared" si="51"/>
        <v>1.2051151209072493E-2</v>
      </c>
      <c r="AE69" s="598">
        <f t="shared" si="51"/>
        <v>4.2651365785224396E-2</v>
      </c>
      <c r="AF69" s="598">
        <f t="shared" si="51"/>
        <v>1.6728588987769147E-2</v>
      </c>
      <c r="AG69" s="599">
        <f t="shared" si="51"/>
        <v>6.1680468646973692E-3</v>
      </c>
      <c r="AH69" s="597">
        <f t="shared" si="51"/>
        <v>8.0341008060483294E-3</v>
      </c>
      <c r="AI69" s="598">
        <f t="shared" si="51"/>
        <v>2.8434243856816258E-2</v>
      </c>
      <c r="AJ69" s="598">
        <f t="shared" si="51"/>
        <v>1.1152392658512764E-2</v>
      </c>
      <c r="AK69" s="599">
        <f t="shared" si="51"/>
        <v>4.1120312431315795E-3</v>
      </c>
      <c r="AL69" s="573"/>
    </row>
    <row r="70" spans="4:38">
      <c r="D70" s="572"/>
      <c r="E70" s="875" t="s">
        <v>343</v>
      </c>
      <c r="F70" s="480" t="s">
        <v>337</v>
      </c>
      <c r="G70" s="480"/>
      <c r="H70" s="480"/>
      <c r="I70" s="480"/>
      <c r="J70" s="481"/>
      <c r="K70" s="533">
        <f t="shared" si="50"/>
        <v>0.25</v>
      </c>
      <c r="L70" s="641">
        <f t="shared" si="50"/>
        <v>0.16666666666666666</v>
      </c>
      <c r="M70" s="641">
        <f t="shared" si="50"/>
        <v>0.17</v>
      </c>
      <c r="N70" s="600">
        <v>0</v>
      </c>
      <c r="O70" s="601">
        <v>0</v>
      </c>
      <c r="P70" s="601">
        <v>0</v>
      </c>
      <c r="Q70" s="602">
        <v>0</v>
      </c>
      <c r="R70" s="600">
        <v>0</v>
      </c>
      <c r="S70" s="601">
        <v>0</v>
      </c>
      <c r="T70" s="601">
        <v>0</v>
      </c>
      <c r="U70" s="602">
        <v>0</v>
      </c>
      <c r="V70" s="600">
        <v>0</v>
      </c>
      <c r="W70" s="601">
        <v>0</v>
      </c>
      <c r="X70" s="601">
        <v>0</v>
      </c>
      <c r="Y70" s="602">
        <v>0</v>
      </c>
      <c r="Z70" s="600">
        <v>0</v>
      </c>
      <c r="AA70" s="601">
        <v>0</v>
      </c>
      <c r="AB70" s="601">
        <v>0</v>
      </c>
      <c r="AC70" s="602">
        <v>0</v>
      </c>
      <c r="AD70" s="600">
        <v>0</v>
      </c>
      <c r="AE70" s="601">
        <v>0</v>
      </c>
      <c r="AF70" s="601">
        <v>0</v>
      </c>
      <c r="AG70" s="602">
        <v>0</v>
      </c>
      <c r="AH70" s="600">
        <v>0</v>
      </c>
      <c r="AI70" s="601">
        <v>0</v>
      </c>
      <c r="AJ70" s="601">
        <v>0</v>
      </c>
      <c r="AK70" s="602">
        <v>0</v>
      </c>
      <c r="AL70" s="573"/>
    </row>
    <row r="71" spans="4:38">
      <c r="D71" s="572"/>
      <c r="E71" s="876"/>
      <c r="F71" s="483" t="s">
        <v>338</v>
      </c>
      <c r="G71" s="483"/>
      <c r="H71" s="483"/>
      <c r="I71" s="483"/>
      <c r="J71" s="484"/>
      <c r="K71" s="534">
        <f t="shared" si="50"/>
        <v>0.25</v>
      </c>
      <c r="L71" s="642">
        <f t="shared" si="50"/>
        <v>0.16666666666666666</v>
      </c>
      <c r="M71" s="642">
        <f t="shared" si="50"/>
        <v>0.25</v>
      </c>
      <c r="N71" s="603">
        <f t="shared" ref="N71:AK71" si="52">VLOOKUP(N$31&amp;N$27&amp;N$28,t.MFAMCommonUESSummary,N88,FALSE)</f>
        <v>9.7792912625686956E-2</v>
      </c>
      <c r="O71" s="604">
        <f t="shared" si="52"/>
        <v>0.21296290278920008</v>
      </c>
      <c r="P71" s="604">
        <f t="shared" si="52"/>
        <v>0.1169018825956588</v>
      </c>
      <c r="Q71" s="605">
        <f t="shared" si="52"/>
        <v>7.5681020298334858E-2</v>
      </c>
      <c r="R71" s="603">
        <f t="shared" si="52"/>
        <v>7.3344684469265217E-2</v>
      </c>
      <c r="S71" s="604">
        <f t="shared" si="52"/>
        <v>0.15972217709190009</v>
      </c>
      <c r="T71" s="604">
        <f t="shared" si="52"/>
        <v>8.7676411946744109E-2</v>
      </c>
      <c r="U71" s="605">
        <f t="shared" si="52"/>
        <v>5.6760765223751147E-2</v>
      </c>
      <c r="V71" s="603">
        <f t="shared" si="52"/>
        <v>4.8896456312843478E-2</v>
      </c>
      <c r="W71" s="604">
        <f t="shared" si="52"/>
        <v>0.10648145139460004</v>
      </c>
      <c r="X71" s="604">
        <f t="shared" si="52"/>
        <v>5.8450941297829399E-2</v>
      </c>
      <c r="Y71" s="605">
        <f t="shared" si="52"/>
        <v>3.7840510149167429E-2</v>
      </c>
      <c r="Z71" s="603">
        <f t="shared" si="52"/>
        <v>1.6068201612096659E-2</v>
      </c>
      <c r="AA71" s="604">
        <f t="shared" si="52"/>
        <v>5.6868487713632516E-2</v>
      </c>
      <c r="AB71" s="604">
        <f t="shared" si="52"/>
        <v>2.2304785317025528E-2</v>
      </c>
      <c r="AC71" s="605">
        <f t="shared" si="52"/>
        <v>8.2240624862631589E-3</v>
      </c>
      <c r="AD71" s="603">
        <f t="shared" si="52"/>
        <v>1.2051151209072493E-2</v>
      </c>
      <c r="AE71" s="604">
        <f t="shared" si="52"/>
        <v>4.2651365785224396E-2</v>
      </c>
      <c r="AF71" s="604">
        <f t="shared" si="52"/>
        <v>1.6728588987769147E-2</v>
      </c>
      <c r="AG71" s="605">
        <f t="shared" si="52"/>
        <v>6.1680468646973692E-3</v>
      </c>
      <c r="AH71" s="603">
        <f t="shared" si="52"/>
        <v>8.0341008060483294E-3</v>
      </c>
      <c r="AI71" s="604">
        <f t="shared" si="52"/>
        <v>2.8434243856816258E-2</v>
      </c>
      <c r="AJ71" s="604">
        <f t="shared" si="52"/>
        <v>1.1152392658512764E-2</v>
      </c>
      <c r="AK71" s="605">
        <f t="shared" si="52"/>
        <v>4.1120312431315795E-3</v>
      </c>
      <c r="AL71" s="573"/>
    </row>
    <row r="72" spans="4:38">
      <c r="D72" s="572"/>
      <c r="E72" s="876"/>
      <c r="F72" s="878" t="s">
        <v>339</v>
      </c>
      <c r="G72" s="878"/>
      <c r="H72" s="482" t="s">
        <v>422</v>
      </c>
      <c r="I72" s="483"/>
      <c r="J72" s="484"/>
      <c r="K72" s="534">
        <f t="shared" si="50"/>
        <v>0</v>
      </c>
      <c r="L72" s="642">
        <f t="shared" si="50"/>
        <v>0.125</v>
      </c>
      <c r="M72" s="642">
        <f t="shared" si="50"/>
        <v>0.04</v>
      </c>
      <c r="N72" s="698">
        <v>0</v>
      </c>
      <c r="O72" s="604">
        <v>0</v>
      </c>
      <c r="P72" s="604">
        <v>0</v>
      </c>
      <c r="Q72" s="605">
        <v>0</v>
      </c>
      <c r="R72" s="603">
        <v>0</v>
      </c>
      <c r="S72" s="604">
        <v>0</v>
      </c>
      <c r="T72" s="604">
        <v>0</v>
      </c>
      <c r="U72" s="605">
        <v>0</v>
      </c>
      <c r="V72" s="603">
        <v>0</v>
      </c>
      <c r="W72" s="604">
        <v>0</v>
      </c>
      <c r="X72" s="604">
        <v>0</v>
      </c>
      <c r="Y72" s="605">
        <v>0</v>
      </c>
      <c r="Z72" s="603">
        <v>0</v>
      </c>
      <c r="AA72" s="604">
        <v>0</v>
      </c>
      <c r="AB72" s="604">
        <v>0</v>
      </c>
      <c r="AC72" s="605">
        <v>0</v>
      </c>
      <c r="AD72" s="603">
        <v>0</v>
      </c>
      <c r="AE72" s="604">
        <v>0</v>
      </c>
      <c r="AF72" s="604">
        <v>0</v>
      </c>
      <c r="AG72" s="605">
        <v>0</v>
      </c>
      <c r="AH72" s="603">
        <v>0</v>
      </c>
      <c r="AI72" s="604">
        <v>0</v>
      </c>
      <c r="AJ72" s="604">
        <v>0</v>
      </c>
      <c r="AK72" s="605">
        <v>0</v>
      </c>
      <c r="AL72" s="573"/>
    </row>
    <row r="73" spans="4:38">
      <c r="D73" s="572"/>
      <c r="E73" s="877"/>
      <c r="F73" s="878"/>
      <c r="G73" s="878"/>
      <c r="H73" s="485" t="s">
        <v>340</v>
      </c>
      <c r="I73" s="486"/>
      <c r="J73" s="487"/>
      <c r="K73" s="535">
        <f t="shared" si="50"/>
        <v>0.5</v>
      </c>
      <c r="L73" s="644">
        <f t="shared" si="50"/>
        <v>4.1666666666666664E-2</v>
      </c>
      <c r="M73" s="644">
        <f t="shared" si="50"/>
        <v>4.1666666666666664E-2</v>
      </c>
      <c r="N73" s="606">
        <f t="shared" ref="N73:AK73" si="53">VLOOKUP(N$31&amp;N$27&amp;"NoRepl",t.MFAMCommonUESSummary,N88,FALSE)</f>
        <v>0.24219864956078746</v>
      </c>
      <c r="O73" s="607">
        <f t="shared" si="53"/>
        <v>0.44537038289337338</v>
      </c>
      <c r="P73" s="607">
        <f t="shared" si="53"/>
        <v>0.271590715228965</v>
      </c>
      <c r="Q73" s="608">
        <f t="shared" si="53"/>
        <v>0.19277068767537686</v>
      </c>
      <c r="R73" s="606">
        <f t="shared" si="53"/>
        <v>0.18164898717059064</v>
      </c>
      <c r="S73" s="607">
        <f t="shared" si="53"/>
        <v>0.33402778717003007</v>
      </c>
      <c r="T73" s="607">
        <f t="shared" si="53"/>
        <v>0.20369303642172376</v>
      </c>
      <c r="U73" s="608">
        <f t="shared" si="53"/>
        <v>0.14457801575653267</v>
      </c>
      <c r="V73" s="606">
        <f t="shared" si="53"/>
        <v>0.12109932478039373</v>
      </c>
      <c r="W73" s="607">
        <f t="shared" si="53"/>
        <v>0.22268519144668669</v>
      </c>
      <c r="X73" s="607">
        <f t="shared" si="53"/>
        <v>0.1357953576144825</v>
      </c>
      <c r="Y73" s="608">
        <f t="shared" si="53"/>
        <v>9.6385343837688431E-2</v>
      </c>
      <c r="Z73" s="606">
        <f t="shared" si="53"/>
        <v>0.24219864956078746</v>
      </c>
      <c r="AA73" s="607">
        <f t="shared" si="53"/>
        <v>0.44537038289337338</v>
      </c>
      <c r="AB73" s="607">
        <f t="shared" si="53"/>
        <v>0.271590715228965</v>
      </c>
      <c r="AC73" s="608">
        <f t="shared" si="53"/>
        <v>0.19277068767537686</v>
      </c>
      <c r="AD73" s="606">
        <f t="shared" si="53"/>
        <v>0.18164898717059064</v>
      </c>
      <c r="AE73" s="607">
        <f t="shared" si="53"/>
        <v>0.33402778717003007</v>
      </c>
      <c r="AF73" s="607">
        <f t="shared" si="53"/>
        <v>0.20369303642172376</v>
      </c>
      <c r="AG73" s="608">
        <f t="shared" si="53"/>
        <v>0.14457801575653267</v>
      </c>
      <c r="AH73" s="606">
        <f t="shared" si="53"/>
        <v>0.12109932478039373</v>
      </c>
      <c r="AI73" s="607">
        <f t="shared" si="53"/>
        <v>0.22268519144668669</v>
      </c>
      <c r="AJ73" s="607">
        <f t="shared" si="53"/>
        <v>0.1357953576144825</v>
      </c>
      <c r="AK73" s="608">
        <f t="shared" si="53"/>
        <v>9.6385343837688431E-2</v>
      </c>
      <c r="AL73" s="573"/>
    </row>
    <row r="74" spans="4:38" ht="15" thickBot="1">
      <c r="D74" s="572"/>
      <c r="E74" s="666" t="s">
        <v>346</v>
      </c>
      <c r="F74" s="667"/>
      <c r="G74" s="667"/>
      <c r="H74" s="667"/>
      <c r="I74" s="667"/>
      <c r="J74" s="668"/>
      <c r="K74" s="532">
        <f t="shared" si="50"/>
        <v>0</v>
      </c>
      <c r="L74" s="643">
        <f t="shared" si="50"/>
        <v>0.16666666666666666</v>
      </c>
      <c r="M74" s="643">
        <f t="shared" si="50"/>
        <v>0.2</v>
      </c>
      <c r="N74" s="597">
        <v>0</v>
      </c>
      <c r="O74" s="598">
        <v>0</v>
      </c>
      <c r="P74" s="598">
        <v>0</v>
      </c>
      <c r="Q74" s="599">
        <v>0</v>
      </c>
      <c r="R74" s="597">
        <v>0</v>
      </c>
      <c r="S74" s="598">
        <v>0</v>
      </c>
      <c r="T74" s="598">
        <v>0</v>
      </c>
      <c r="U74" s="599">
        <v>0</v>
      </c>
      <c r="V74" s="597">
        <v>0</v>
      </c>
      <c r="W74" s="598">
        <v>0</v>
      </c>
      <c r="X74" s="598">
        <v>0</v>
      </c>
      <c r="Y74" s="599">
        <v>0</v>
      </c>
      <c r="Z74" s="597">
        <v>0</v>
      </c>
      <c r="AA74" s="598">
        <v>0</v>
      </c>
      <c r="AB74" s="598">
        <v>0</v>
      </c>
      <c r="AC74" s="599">
        <v>0</v>
      </c>
      <c r="AD74" s="597">
        <v>0</v>
      </c>
      <c r="AE74" s="598">
        <v>0</v>
      </c>
      <c r="AF74" s="598">
        <v>0</v>
      </c>
      <c r="AG74" s="599">
        <v>0</v>
      </c>
      <c r="AH74" s="597">
        <v>0</v>
      </c>
      <c r="AI74" s="598">
        <v>0</v>
      </c>
      <c r="AJ74" s="598">
        <v>0</v>
      </c>
      <c r="AK74" s="599">
        <v>0</v>
      </c>
      <c r="AL74" s="573"/>
    </row>
    <row r="75" spans="4:38" ht="15" thickTop="1">
      <c r="D75" s="572"/>
      <c r="E75" s="14"/>
      <c r="F75" s="14"/>
      <c r="G75" s="14"/>
      <c r="H75" s="14"/>
      <c r="I75" s="14"/>
      <c r="J75" s="14"/>
      <c r="K75" s="859" t="s">
        <v>463</v>
      </c>
      <c r="L75" s="860"/>
      <c r="M75" s="673" t="s">
        <v>464</v>
      </c>
      <c r="N75" s="692">
        <f t="shared" ref="N75:AK75" si="54">SUMPRODUCT($K66:$K74,N66:N74)</f>
        <v>0.14554755293681548</v>
      </c>
      <c r="O75" s="693">
        <f t="shared" si="54"/>
        <v>0.27592591714398673</v>
      </c>
      <c r="P75" s="693">
        <f t="shared" si="54"/>
        <v>0.1650208282633972</v>
      </c>
      <c r="Q75" s="694">
        <f t="shared" si="54"/>
        <v>0.11530559891227214</v>
      </c>
      <c r="R75" s="692">
        <f t="shared" si="54"/>
        <v>0.10916066470261163</v>
      </c>
      <c r="S75" s="693">
        <f t="shared" si="54"/>
        <v>0.20694443785799005</v>
      </c>
      <c r="T75" s="693">
        <f t="shared" si="54"/>
        <v>0.12376562119754791</v>
      </c>
      <c r="U75" s="694">
        <f t="shared" si="54"/>
        <v>8.6479199184204131E-2</v>
      </c>
      <c r="V75" s="692">
        <f t="shared" si="54"/>
        <v>7.2773776468407742E-2</v>
      </c>
      <c r="W75" s="693">
        <f t="shared" si="54"/>
        <v>0.13796295857199337</v>
      </c>
      <c r="X75" s="693">
        <f t="shared" si="54"/>
        <v>8.2510414131698601E-2</v>
      </c>
      <c r="Y75" s="694">
        <f t="shared" si="54"/>
        <v>5.7652799456136071E-2</v>
      </c>
      <c r="Z75" s="692">
        <f t="shared" si="54"/>
        <v>0.12511637518341789</v>
      </c>
      <c r="AA75" s="693">
        <f t="shared" si="54"/>
        <v>0.23690231337509482</v>
      </c>
      <c r="AB75" s="693">
        <f t="shared" si="54"/>
        <v>0.14137155394373888</v>
      </c>
      <c r="AC75" s="694">
        <f t="shared" si="54"/>
        <v>9.8441359459254224E-2</v>
      </c>
      <c r="AD75" s="692">
        <f t="shared" si="54"/>
        <v>9.3837281387563448E-2</v>
      </c>
      <c r="AE75" s="693">
        <f t="shared" si="54"/>
        <v>0.17767673503132114</v>
      </c>
      <c r="AF75" s="693">
        <f t="shared" si="54"/>
        <v>0.10602866545780416</v>
      </c>
      <c r="AG75" s="694">
        <f t="shared" si="54"/>
        <v>7.3831019594440675E-2</v>
      </c>
      <c r="AH75" s="692">
        <f t="shared" si="54"/>
        <v>6.2558187591708947E-2</v>
      </c>
      <c r="AI75" s="693">
        <f t="shared" si="54"/>
        <v>0.11845115668754741</v>
      </c>
      <c r="AJ75" s="693">
        <f t="shared" si="54"/>
        <v>7.0685776971869438E-2</v>
      </c>
      <c r="AK75" s="694">
        <f t="shared" si="54"/>
        <v>4.9220679729627112E-2</v>
      </c>
      <c r="AL75" s="573"/>
    </row>
    <row r="76" spans="4:38">
      <c r="D76" s="572"/>
      <c r="E76" s="14"/>
      <c r="F76" s="14"/>
      <c r="G76" s="14"/>
      <c r="H76" s="14"/>
      <c r="I76" s="14"/>
      <c r="J76" s="14"/>
      <c r="K76" s="861"/>
      <c r="L76" s="862"/>
      <c r="M76" s="659" t="s">
        <v>465</v>
      </c>
      <c r="N76" s="660">
        <f>N75/$N$60</f>
        <v>0.22816074991294577</v>
      </c>
      <c r="O76" s="661">
        <f>O75/$O$60</f>
        <v>0.23888842345860672</v>
      </c>
      <c r="P76" s="661">
        <f>P75/$P$60</f>
        <v>0.22627403372099344</v>
      </c>
      <c r="Q76" s="662">
        <f>Q75/$Q$60</f>
        <v>0.22910872731126172</v>
      </c>
      <c r="R76" s="660">
        <f>R75/$N$60</f>
        <v>0.17112056243470936</v>
      </c>
      <c r="S76" s="661">
        <f>S75/$O$60</f>
        <v>0.17916631759395504</v>
      </c>
      <c r="T76" s="661">
        <f>T75/$P$60</f>
        <v>0.16970552529074509</v>
      </c>
      <c r="U76" s="662">
        <f>U75/$Q$60</f>
        <v>0.17183154548344634</v>
      </c>
      <c r="V76" s="660">
        <f>V75/$N$60</f>
        <v>0.11408037495647289</v>
      </c>
      <c r="W76" s="661">
        <f>W75/$O$60</f>
        <v>0.11944421172930336</v>
      </c>
      <c r="X76" s="661">
        <f>X75/$P$60</f>
        <v>0.11313701686049672</v>
      </c>
      <c r="Y76" s="662">
        <f>Y75/$Q$60</f>
        <v>0.11455436365563086</v>
      </c>
      <c r="Z76" s="660">
        <f>Z75/$N$60</f>
        <v>0.19613277868457643</v>
      </c>
      <c r="AA76" s="661">
        <f>AA75/$O$60</f>
        <v>0.20510295205919749</v>
      </c>
      <c r="AB76" s="661">
        <f>AB75/$P$60</f>
        <v>0.19384651077618023</v>
      </c>
      <c r="AC76" s="662">
        <f>AC75/$Q$60</f>
        <v>0.19559999508488518</v>
      </c>
      <c r="AD76" s="660">
        <f>AD75/$N$60</f>
        <v>0.14709958401343237</v>
      </c>
      <c r="AE76" s="661">
        <f>AE75/$O$60</f>
        <v>0.15382721404439814</v>
      </c>
      <c r="AF76" s="661">
        <f>AF75/$P$60</f>
        <v>0.14538488308213518</v>
      </c>
      <c r="AG76" s="662">
        <f>AG75/$Q$60</f>
        <v>0.1466999963136639</v>
      </c>
      <c r="AH76" s="660">
        <f>AH75/$N$60</f>
        <v>9.8066389342288215E-2</v>
      </c>
      <c r="AI76" s="661">
        <f>AI75/$O$60</f>
        <v>0.10255147602959874</v>
      </c>
      <c r="AJ76" s="661">
        <f>AJ75/$P$60</f>
        <v>9.6923255388090115E-2</v>
      </c>
      <c r="AK76" s="662">
        <f>AK75/$Q$60</f>
        <v>9.779999754244259E-2</v>
      </c>
      <c r="AL76" s="573"/>
    </row>
    <row r="77" spans="4:38">
      <c r="D77" s="572"/>
      <c r="E77" s="14"/>
      <c r="F77" s="14"/>
      <c r="G77" s="14"/>
      <c r="H77" s="14"/>
      <c r="I77" s="14"/>
      <c r="J77" s="14"/>
      <c r="K77" s="861"/>
      <c r="L77" s="862"/>
      <c r="M77" s="659"/>
      <c r="N77" s="663"/>
      <c r="O77" s="664"/>
      <c r="P77" s="664"/>
      <c r="Q77" s="665"/>
      <c r="R77" s="663"/>
      <c r="S77" s="664"/>
      <c r="T77" s="664"/>
      <c r="U77" s="665"/>
      <c r="V77" s="663"/>
      <c r="W77" s="664"/>
      <c r="X77" s="664"/>
      <c r="Y77" s="665"/>
      <c r="Z77" s="663"/>
      <c r="AA77" s="664"/>
      <c r="AB77" s="664"/>
      <c r="AC77" s="665"/>
      <c r="AD77" s="663"/>
      <c r="AE77" s="664"/>
      <c r="AF77" s="664"/>
      <c r="AG77" s="665"/>
      <c r="AH77" s="663"/>
      <c r="AI77" s="664"/>
      <c r="AJ77" s="664"/>
      <c r="AK77" s="665"/>
      <c r="AL77" s="573"/>
    </row>
    <row r="78" spans="4:38" ht="15" thickBot="1">
      <c r="D78" s="572"/>
      <c r="E78" s="14"/>
      <c r="F78" s="14"/>
      <c r="G78" s="14"/>
      <c r="H78" s="14"/>
      <c r="I78" s="14"/>
      <c r="J78" s="14"/>
      <c r="K78" s="863"/>
      <c r="L78" s="864"/>
      <c r="M78" s="677"/>
      <c r="N78" s="678"/>
      <c r="O78" s="679"/>
      <c r="P78" s="679"/>
      <c r="Q78" s="680"/>
      <c r="R78" s="678"/>
      <c r="S78" s="679"/>
      <c r="T78" s="679"/>
      <c r="U78" s="680"/>
      <c r="V78" s="678"/>
      <c r="W78" s="679"/>
      <c r="X78" s="679"/>
      <c r="Y78" s="680"/>
      <c r="Z78" s="678"/>
      <c r="AA78" s="679"/>
      <c r="AB78" s="679"/>
      <c r="AC78" s="680"/>
      <c r="AD78" s="678"/>
      <c r="AE78" s="679"/>
      <c r="AF78" s="679"/>
      <c r="AG78" s="680"/>
      <c r="AH78" s="678"/>
      <c r="AI78" s="679"/>
      <c r="AJ78" s="679"/>
      <c r="AK78" s="680"/>
      <c r="AL78" s="573"/>
    </row>
    <row r="79" spans="4:38" ht="15" thickTop="1">
      <c r="D79" s="572"/>
      <c r="E79" s="14"/>
      <c r="F79" s="14"/>
      <c r="G79" s="14"/>
      <c r="H79" s="14"/>
      <c r="I79" s="14"/>
      <c r="J79" s="14"/>
      <c r="K79" s="859" t="s">
        <v>467</v>
      </c>
      <c r="L79" s="860"/>
      <c r="M79" s="673" t="s">
        <v>464</v>
      </c>
      <c r="N79" s="692">
        <f>SUMPRODUCT($L$66:$L$74,N66:N74)</f>
        <v>4.2689247940261799E-2</v>
      </c>
      <c r="O79" s="693">
        <f t="shared" ref="O79:AK79" si="55">SUMPRODUCT($L$32:$L$40,O66:O74)</f>
        <v>8.9544733550290578E-2</v>
      </c>
      <c r="P79" s="693">
        <f t="shared" si="55"/>
        <v>5.0283573999759801E-2</v>
      </c>
      <c r="Q79" s="694">
        <f t="shared" si="55"/>
        <v>3.3259118752585651E-2</v>
      </c>
      <c r="R79" s="692">
        <f t="shared" si="55"/>
        <v>3.2016935955196349E-2</v>
      </c>
      <c r="S79" s="693">
        <f t="shared" si="55"/>
        <v>6.7158550162717948E-2</v>
      </c>
      <c r="T79" s="693">
        <f t="shared" si="55"/>
        <v>3.7712680499819858E-2</v>
      </c>
      <c r="U79" s="694">
        <f t="shared" si="55"/>
        <v>2.4944339064439242E-2</v>
      </c>
      <c r="V79" s="692">
        <f t="shared" si="55"/>
        <v>2.1344623970130899E-2</v>
      </c>
      <c r="W79" s="693">
        <f t="shared" si="55"/>
        <v>4.4772366775145289E-2</v>
      </c>
      <c r="X79" s="693">
        <f t="shared" si="55"/>
        <v>2.51417869998799E-2</v>
      </c>
      <c r="Y79" s="694">
        <f t="shared" si="55"/>
        <v>1.6629559376292825E-2</v>
      </c>
      <c r="Z79" s="692">
        <f t="shared" si="55"/>
        <v>1.5447677602398362E-2</v>
      </c>
      <c r="AA79" s="693">
        <f t="shared" si="55"/>
        <v>3.7513261858434732E-2</v>
      </c>
      <c r="AB79" s="693">
        <f t="shared" si="55"/>
        <v>1.8751208240215381E-2</v>
      </c>
      <c r="AC79" s="694">
        <f t="shared" si="55"/>
        <v>1.0773466148561756E-2</v>
      </c>
      <c r="AD79" s="692">
        <f t="shared" si="55"/>
        <v>1.1585758201798774E-2</v>
      </c>
      <c r="AE79" s="693">
        <f t="shared" si="55"/>
        <v>2.8134946393826049E-2</v>
      </c>
      <c r="AF79" s="693">
        <f t="shared" si="55"/>
        <v>1.4063406180161539E-2</v>
      </c>
      <c r="AG79" s="694">
        <f t="shared" si="55"/>
        <v>8.0800996114213167E-3</v>
      </c>
      <c r="AH79" s="692">
        <f t="shared" si="55"/>
        <v>7.723838801199181E-3</v>
      </c>
      <c r="AI79" s="693">
        <f t="shared" si="55"/>
        <v>1.8756630929217366E-2</v>
      </c>
      <c r="AJ79" s="693">
        <f t="shared" si="55"/>
        <v>9.3756041201076903E-3</v>
      </c>
      <c r="AK79" s="694">
        <f t="shared" si="55"/>
        <v>5.3867330742808778E-3</v>
      </c>
      <c r="AL79" s="573"/>
    </row>
    <row r="80" spans="4:38">
      <c r="D80" s="572"/>
      <c r="E80" s="14"/>
      <c r="F80" s="14"/>
      <c r="G80" s="14"/>
      <c r="H80" s="14"/>
      <c r="I80" s="14"/>
      <c r="J80" s="14"/>
      <c r="K80" s="861"/>
      <c r="L80" s="862"/>
      <c r="M80" s="659" t="s">
        <v>465</v>
      </c>
      <c r="N80" s="660">
        <f>N79/$N$60</f>
        <v>6.6919784130607146E-2</v>
      </c>
      <c r="O80" s="661">
        <f>O79/$O$60</f>
        <v>7.7525157651962537E-2</v>
      </c>
      <c r="P80" s="661">
        <f>P79/$P$60</f>
        <v>6.8948066971721844E-2</v>
      </c>
      <c r="Q80" s="662">
        <f>Q79/$Q$60</f>
        <v>6.6084860065611387E-2</v>
      </c>
      <c r="R80" s="660">
        <f>R79/$N$60</f>
        <v>5.0189838097955353E-2</v>
      </c>
      <c r="S80" s="661">
        <f>S79/$O$60</f>
        <v>5.814386823897192E-2</v>
      </c>
      <c r="T80" s="661">
        <f>T79/$P$60</f>
        <v>5.171105022879139E-2</v>
      </c>
      <c r="U80" s="662">
        <f>U79/$Q$60</f>
        <v>4.956364504920855E-2</v>
      </c>
      <c r="V80" s="660">
        <f>V79/$N$60</f>
        <v>3.3459892065303573E-2</v>
      </c>
      <c r="W80" s="661">
        <f>W79/$O$60</f>
        <v>3.8762578825981268E-2</v>
      </c>
      <c r="X80" s="661">
        <f>X79/$P$60</f>
        <v>3.4474033485860922E-2</v>
      </c>
      <c r="Y80" s="662">
        <f>Y79/$Q$60</f>
        <v>3.3042430032805693E-2</v>
      </c>
      <c r="Z80" s="660">
        <f>Z79/$N$60</f>
        <v>2.421582249278139E-2</v>
      </c>
      <c r="AA80" s="661">
        <f>AA79/$O$60</f>
        <v>3.2477862452750229E-2</v>
      </c>
      <c r="AB80" s="661">
        <f>AB79/$P$60</f>
        <v>2.5711369711970918E-2</v>
      </c>
      <c r="AC80" s="662">
        <f>AC79/$Q$60</f>
        <v>2.1406550430442629E-2</v>
      </c>
      <c r="AD80" s="660">
        <f>AD79/$N$60</f>
        <v>1.8161866869586044E-2</v>
      </c>
      <c r="AE80" s="661">
        <f>AE79/$O$60</f>
        <v>2.435839683956267E-2</v>
      </c>
      <c r="AF80" s="661">
        <f>AF79/$P$60</f>
        <v>1.9283527283978193E-2</v>
      </c>
      <c r="AG80" s="662">
        <f>AG79/$Q$60</f>
        <v>1.6054912822831974E-2</v>
      </c>
      <c r="AH80" s="660">
        <f>AH79/$N$60</f>
        <v>1.2107911246390695E-2</v>
      </c>
      <c r="AI80" s="661">
        <f>AI79/$O$60</f>
        <v>1.6238931226375115E-2</v>
      </c>
      <c r="AJ80" s="661">
        <f>AJ79/$P$60</f>
        <v>1.2855684855985459E-2</v>
      </c>
      <c r="AK80" s="662">
        <f>AK79/$Q$60</f>
        <v>1.0703275215221315E-2</v>
      </c>
      <c r="AL80" s="573"/>
    </row>
    <row r="81" spans="4:38">
      <c r="D81" s="572"/>
      <c r="E81" s="14"/>
      <c r="F81" s="14"/>
      <c r="G81" s="14"/>
      <c r="H81" s="14"/>
      <c r="I81" s="14"/>
      <c r="J81" s="14"/>
      <c r="K81" s="861"/>
      <c r="L81" s="862"/>
      <c r="M81" s="659"/>
      <c r="N81" s="663"/>
      <c r="O81" s="664"/>
      <c r="P81" s="664"/>
      <c r="Q81" s="665"/>
      <c r="R81" s="663"/>
      <c r="S81" s="664"/>
      <c r="T81" s="664"/>
      <c r="U81" s="665"/>
      <c r="V81" s="663"/>
      <c r="W81" s="664"/>
      <c r="X81" s="664"/>
      <c r="Y81" s="665"/>
      <c r="Z81" s="663"/>
      <c r="AA81" s="664"/>
      <c r="AB81" s="664"/>
      <c r="AC81" s="665"/>
      <c r="AD81" s="663"/>
      <c r="AE81" s="664"/>
      <c r="AF81" s="664"/>
      <c r="AG81" s="665"/>
      <c r="AH81" s="663"/>
      <c r="AI81" s="664"/>
      <c r="AJ81" s="664"/>
      <c r="AK81" s="665"/>
      <c r="AL81" s="573"/>
    </row>
    <row r="82" spans="4:38" ht="15" thickBot="1">
      <c r="D82" s="572"/>
      <c r="E82" s="14"/>
      <c r="F82" s="14"/>
      <c r="G82" s="14"/>
      <c r="H82" s="14"/>
      <c r="I82" s="14"/>
      <c r="J82" s="14"/>
      <c r="K82" s="863"/>
      <c r="L82" s="864"/>
      <c r="M82" s="677"/>
      <c r="N82" s="678"/>
      <c r="O82" s="679"/>
      <c r="P82" s="679"/>
      <c r="Q82" s="680"/>
      <c r="R82" s="678"/>
      <c r="S82" s="679"/>
      <c r="T82" s="679"/>
      <c r="U82" s="680"/>
      <c r="V82" s="678"/>
      <c r="W82" s="679"/>
      <c r="X82" s="679"/>
      <c r="Y82" s="680"/>
      <c r="Z82" s="678"/>
      <c r="AA82" s="679"/>
      <c r="AB82" s="679"/>
      <c r="AC82" s="680"/>
      <c r="AD82" s="678"/>
      <c r="AE82" s="679"/>
      <c r="AF82" s="679"/>
      <c r="AG82" s="680"/>
      <c r="AH82" s="678"/>
      <c r="AI82" s="679"/>
      <c r="AJ82" s="679"/>
      <c r="AK82" s="680"/>
      <c r="AL82" s="573"/>
    </row>
    <row r="83" spans="4:38" ht="15" thickTop="1">
      <c r="D83" s="572"/>
      <c r="E83" s="14"/>
      <c r="F83" s="14"/>
      <c r="G83" s="14"/>
      <c r="H83" s="14"/>
      <c r="I83" s="14"/>
      <c r="J83" s="14"/>
      <c r="K83" s="859" t="s">
        <v>468</v>
      </c>
      <c r="L83" s="860"/>
      <c r="M83" s="673" t="s">
        <v>464</v>
      </c>
      <c r="N83" s="692">
        <f>SUMPRODUCT($M$66:$M$74,N66:N74)</f>
        <v>4.4319129817356584E-2</v>
      </c>
      <c r="O83" s="693">
        <f t="shared" ref="O83:AK83" si="56">SUMPRODUCT($M$32:$M$40,O66:O74)</f>
        <v>9.3094115263443925E-2</v>
      </c>
      <c r="P83" s="693">
        <f t="shared" si="56"/>
        <v>5.2231938709687453E-2</v>
      </c>
      <c r="Q83" s="694">
        <f t="shared" si="56"/>
        <v>3.4520469090891237E-2</v>
      </c>
      <c r="R83" s="692">
        <f t="shared" si="56"/>
        <v>3.3239347363017438E-2</v>
      </c>
      <c r="S83" s="693">
        <f t="shared" si="56"/>
        <v>6.9820586447582947E-2</v>
      </c>
      <c r="T83" s="693">
        <f t="shared" si="56"/>
        <v>3.9173954032265597E-2</v>
      </c>
      <c r="U83" s="694">
        <f t="shared" si="56"/>
        <v>2.5890351818168428E-2</v>
      </c>
      <c r="V83" s="692">
        <f t="shared" si="56"/>
        <v>2.2159564908678292E-2</v>
      </c>
      <c r="W83" s="693">
        <f t="shared" si="56"/>
        <v>4.6547057631721962E-2</v>
      </c>
      <c r="X83" s="693">
        <f t="shared" si="56"/>
        <v>2.6115969354843727E-2</v>
      </c>
      <c r="Y83" s="694">
        <f t="shared" si="56"/>
        <v>1.7260234545445619E-2</v>
      </c>
      <c r="Z83" s="692">
        <f t="shared" si="56"/>
        <v>1.5715480962599976E-2</v>
      </c>
      <c r="AA83" s="693">
        <f t="shared" si="56"/>
        <v>3.8461069986995271E-2</v>
      </c>
      <c r="AB83" s="693">
        <f t="shared" si="56"/>
        <v>1.9122954662165809E-2</v>
      </c>
      <c r="AC83" s="694">
        <f t="shared" si="56"/>
        <v>1.0910533856666141E-2</v>
      </c>
      <c r="AD83" s="692">
        <f t="shared" si="56"/>
        <v>1.1786610721949982E-2</v>
      </c>
      <c r="AE83" s="693">
        <f t="shared" si="56"/>
        <v>2.8845802490246458E-2</v>
      </c>
      <c r="AF83" s="693">
        <f t="shared" si="56"/>
        <v>1.4342215996624358E-2</v>
      </c>
      <c r="AG83" s="694">
        <f t="shared" si="56"/>
        <v>8.1829003924996074E-3</v>
      </c>
      <c r="AH83" s="692">
        <f t="shared" si="56"/>
        <v>7.8577404812999879E-3</v>
      </c>
      <c r="AI83" s="693">
        <f t="shared" si="56"/>
        <v>1.9230534993497635E-2</v>
      </c>
      <c r="AJ83" s="693">
        <f t="shared" si="56"/>
        <v>9.5614773310829047E-3</v>
      </c>
      <c r="AK83" s="694">
        <f t="shared" si="56"/>
        <v>5.4552669283330704E-3</v>
      </c>
      <c r="AL83" s="573"/>
    </row>
    <row r="84" spans="4:38">
      <c r="D84" s="572"/>
      <c r="E84" s="14"/>
      <c r="F84" s="14"/>
      <c r="G84" s="14"/>
      <c r="H84" s="14"/>
      <c r="I84" s="14"/>
      <c r="J84" s="14"/>
      <c r="K84" s="861"/>
      <c r="L84" s="862"/>
      <c r="M84" s="659" t="s">
        <v>465</v>
      </c>
      <c r="N84" s="660">
        <f>N83/$N$60</f>
        <v>6.9474791506848654E-2</v>
      </c>
      <c r="O84" s="661">
        <f>O83/$O$60</f>
        <v>8.0598106400251196E-2</v>
      </c>
      <c r="P84" s="661">
        <f>P83/$P$60</f>
        <v>7.161963483812038E-2</v>
      </c>
      <c r="Q84" s="662">
        <f>Q83/$Q$60</f>
        <v>6.8591124925505065E-2</v>
      </c>
      <c r="R84" s="660">
        <f>R83/$N$60</f>
        <v>5.2106093630136491E-2</v>
      </c>
      <c r="S84" s="661">
        <f>S83/$O$60</f>
        <v>6.0448579800188397E-2</v>
      </c>
      <c r="T84" s="661">
        <f>T83/$P$60</f>
        <v>5.3714726128590289E-2</v>
      </c>
      <c r="U84" s="662">
        <f>U83/$Q$60</f>
        <v>5.1443343694128799E-2</v>
      </c>
      <c r="V84" s="660">
        <f>V83/$N$60</f>
        <v>3.4737395753424327E-2</v>
      </c>
      <c r="W84" s="661">
        <f>W83/$O$60</f>
        <v>4.0299053200125598E-2</v>
      </c>
      <c r="X84" s="661">
        <f>X83/$P$60</f>
        <v>3.580981741906019E-2</v>
      </c>
      <c r="Y84" s="662">
        <f>Y83/$Q$60</f>
        <v>3.4295562462752532E-2</v>
      </c>
      <c r="Z84" s="660">
        <f>Z83/$N$60</f>
        <v>2.4635631787131618E-2</v>
      </c>
      <c r="AA84" s="661">
        <f>AA83/$O$60</f>
        <v>3.3298446441078246E-2</v>
      </c>
      <c r="AB84" s="661">
        <f>AB83/$P$60</f>
        <v>2.6221102715381903E-2</v>
      </c>
      <c r="AC84" s="662">
        <f>AC83/$Q$60</f>
        <v>2.1678899808577855E-2</v>
      </c>
      <c r="AD84" s="660">
        <f>AD83/$N$60</f>
        <v>1.8476723840348715E-2</v>
      </c>
      <c r="AE84" s="661">
        <f>AE83/$O$60</f>
        <v>2.497383483080869E-2</v>
      </c>
      <c r="AF84" s="661">
        <f>AF83/$P$60</f>
        <v>1.966582703653643E-2</v>
      </c>
      <c r="AG84" s="662">
        <f>AG83/$Q$60</f>
        <v>1.6259174856433398E-2</v>
      </c>
      <c r="AH84" s="660">
        <f>AH83/$N$60</f>
        <v>1.2317815893565809E-2</v>
      </c>
      <c r="AI84" s="661">
        <f>AI83/$O$60</f>
        <v>1.6649223220539123E-2</v>
      </c>
      <c r="AJ84" s="661">
        <f>AJ83/$P$60</f>
        <v>1.3110551357690951E-2</v>
      </c>
      <c r="AK84" s="662">
        <f>AK83/$Q$60</f>
        <v>1.0839449904288928E-2</v>
      </c>
      <c r="AL84" s="573"/>
    </row>
    <row r="85" spans="4:38">
      <c r="D85" s="572"/>
      <c r="E85" s="14"/>
      <c r="F85" s="14"/>
      <c r="G85" s="14"/>
      <c r="H85" s="14"/>
      <c r="I85" s="14"/>
      <c r="J85" s="14"/>
      <c r="K85" s="861"/>
      <c r="L85" s="862"/>
      <c r="M85" s="659"/>
      <c r="N85" s="663"/>
      <c r="O85" s="664"/>
      <c r="P85" s="664"/>
      <c r="Q85" s="665"/>
      <c r="R85" s="663"/>
      <c r="S85" s="664"/>
      <c r="T85" s="664"/>
      <c r="U85" s="665"/>
      <c r="V85" s="663"/>
      <c r="W85" s="664"/>
      <c r="X85" s="664"/>
      <c r="Y85" s="665"/>
      <c r="Z85" s="663"/>
      <c r="AA85" s="664"/>
      <c r="AB85" s="664"/>
      <c r="AC85" s="665"/>
      <c r="AD85" s="663"/>
      <c r="AE85" s="664"/>
      <c r="AF85" s="664"/>
      <c r="AG85" s="665"/>
      <c r="AH85" s="663"/>
      <c r="AI85" s="664"/>
      <c r="AJ85" s="664"/>
      <c r="AK85" s="665"/>
      <c r="AL85" s="573"/>
    </row>
    <row r="86" spans="4:38" ht="15" thickBot="1">
      <c r="D86" s="572"/>
      <c r="E86" s="14"/>
      <c r="F86" s="14"/>
      <c r="G86" s="14"/>
      <c r="H86" s="14"/>
      <c r="I86" s="14"/>
      <c r="J86" s="14"/>
      <c r="K86" s="863"/>
      <c r="L86" s="864"/>
      <c r="M86" s="677"/>
      <c r="N86" s="678"/>
      <c r="O86" s="679"/>
      <c r="P86" s="679"/>
      <c r="Q86" s="680"/>
      <c r="R86" s="678"/>
      <c r="S86" s="679"/>
      <c r="T86" s="679"/>
      <c r="U86" s="680"/>
      <c r="V86" s="678"/>
      <c r="W86" s="679"/>
      <c r="X86" s="679"/>
      <c r="Y86" s="680"/>
      <c r="Z86" s="678"/>
      <c r="AA86" s="679"/>
      <c r="AB86" s="679"/>
      <c r="AC86" s="680"/>
      <c r="AD86" s="678"/>
      <c r="AE86" s="679"/>
      <c r="AF86" s="679"/>
      <c r="AG86" s="680"/>
      <c r="AH86" s="678"/>
      <c r="AI86" s="679"/>
      <c r="AJ86" s="679"/>
      <c r="AK86" s="680"/>
      <c r="AL86" s="573"/>
    </row>
    <row r="87" spans="4:38" ht="15" thickTop="1">
      <c r="D87" s="572"/>
      <c r="E87" s="14"/>
      <c r="F87" s="14"/>
      <c r="G87" s="14"/>
      <c r="H87" s="14"/>
      <c r="I87" s="14"/>
      <c r="J87" s="14"/>
      <c r="K87" s="14"/>
      <c r="L87" s="14"/>
      <c r="M87" s="14"/>
      <c r="N87" s="628"/>
      <c r="O87" s="628"/>
      <c r="P87" s="628"/>
      <c r="Q87" s="628"/>
      <c r="R87" s="628"/>
      <c r="S87" s="628"/>
      <c r="T87" s="628"/>
      <c r="U87" s="628"/>
      <c r="V87" s="628"/>
      <c r="W87" s="628"/>
      <c r="X87" s="628"/>
      <c r="Y87" s="628"/>
      <c r="Z87" s="628"/>
      <c r="AA87" s="628"/>
      <c r="AB87" s="628"/>
      <c r="AC87" s="628"/>
      <c r="AD87" s="628"/>
      <c r="AE87" s="628"/>
      <c r="AF87" s="628"/>
      <c r="AG87" s="628"/>
      <c r="AH87" s="628"/>
      <c r="AI87" s="628"/>
      <c r="AJ87" s="628"/>
      <c r="AK87" s="628"/>
      <c r="AL87" s="573"/>
    </row>
    <row r="88" spans="4:38">
      <c r="D88" s="572"/>
      <c r="E88" s="14"/>
      <c r="F88" s="14"/>
      <c r="G88" s="14"/>
      <c r="H88" s="14"/>
      <c r="I88" s="14"/>
      <c r="J88" s="14"/>
      <c r="K88" s="14"/>
      <c r="L88" s="14"/>
      <c r="M88" s="14"/>
      <c r="N88" s="682">
        <f>H1</f>
        <v>8</v>
      </c>
      <c r="O88" s="682">
        <f>N88</f>
        <v>8</v>
      </c>
      <c r="P88" s="682">
        <f t="shared" ref="P88:Q88" si="57">O88</f>
        <v>8</v>
      </c>
      <c r="Q88" s="682">
        <f t="shared" si="57"/>
        <v>8</v>
      </c>
      <c r="R88" s="682">
        <f>N88+3</f>
        <v>11</v>
      </c>
      <c r="S88" s="682">
        <f t="shared" ref="S88:Y88" si="58">O88+3</f>
        <v>11</v>
      </c>
      <c r="T88" s="682">
        <f t="shared" si="58"/>
        <v>11</v>
      </c>
      <c r="U88" s="682">
        <f t="shared" si="58"/>
        <v>11</v>
      </c>
      <c r="V88" s="682">
        <f t="shared" si="58"/>
        <v>14</v>
      </c>
      <c r="W88" s="682">
        <f t="shared" si="58"/>
        <v>14</v>
      </c>
      <c r="X88" s="682">
        <f t="shared" si="58"/>
        <v>14</v>
      </c>
      <c r="Y88" s="682">
        <f t="shared" si="58"/>
        <v>14</v>
      </c>
      <c r="Z88" s="682">
        <f>N88</f>
        <v>8</v>
      </c>
      <c r="AA88" s="682">
        <f t="shared" ref="AA88:AK88" si="59">O88</f>
        <v>8</v>
      </c>
      <c r="AB88" s="682">
        <f t="shared" si="59"/>
        <v>8</v>
      </c>
      <c r="AC88" s="682">
        <f t="shared" si="59"/>
        <v>8</v>
      </c>
      <c r="AD88" s="682">
        <f t="shared" si="59"/>
        <v>11</v>
      </c>
      <c r="AE88" s="682">
        <f t="shared" si="59"/>
        <v>11</v>
      </c>
      <c r="AF88" s="682">
        <f t="shared" si="59"/>
        <v>11</v>
      </c>
      <c r="AG88" s="682">
        <f t="shared" si="59"/>
        <v>11</v>
      </c>
      <c r="AH88" s="682">
        <f t="shared" si="59"/>
        <v>14</v>
      </c>
      <c r="AI88" s="682">
        <f t="shared" si="59"/>
        <v>14</v>
      </c>
      <c r="AJ88" s="682">
        <f t="shared" si="59"/>
        <v>14</v>
      </c>
      <c r="AK88" s="682">
        <f t="shared" si="59"/>
        <v>14</v>
      </c>
      <c r="AL88" s="573"/>
    </row>
    <row r="89" spans="4:38" ht="15" thickBot="1">
      <c r="D89" s="577"/>
      <c r="E89" s="578"/>
      <c r="F89" s="578"/>
      <c r="G89" s="578"/>
      <c r="H89" s="578"/>
      <c r="I89" s="578"/>
      <c r="J89" s="578"/>
      <c r="K89" s="578"/>
      <c r="L89" s="578"/>
      <c r="M89" s="578"/>
      <c r="N89" s="578"/>
      <c r="O89" s="578"/>
      <c r="P89" s="578"/>
      <c r="Q89" s="578"/>
      <c r="R89" s="578"/>
      <c r="S89" s="578"/>
      <c r="T89" s="578"/>
      <c r="U89" s="578"/>
      <c r="V89" s="578"/>
      <c r="W89" s="578"/>
      <c r="X89" s="578"/>
      <c r="Y89" s="578"/>
      <c r="Z89" s="578"/>
      <c r="AA89" s="578"/>
      <c r="AB89" s="578"/>
      <c r="AC89" s="578"/>
      <c r="AD89" s="578"/>
      <c r="AE89" s="578"/>
      <c r="AF89" s="578"/>
      <c r="AG89" s="578"/>
      <c r="AH89" s="578"/>
      <c r="AI89" s="578"/>
      <c r="AJ89" s="578"/>
      <c r="AK89" s="578"/>
      <c r="AL89" s="579"/>
    </row>
    <row r="90" spans="4:38" ht="15" thickBot="1"/>
    <row r="91" spans="4:38">
      <c r="D91" s="569"/>
      <c r="E91" s="570"/>
      <c r="F91" s="570"/>
      <c r="G91" s="570"/>
      <c r="H91" s="570"/>
      <c r="I91" s="570"/>
      <c r="J91" s="570"/>
      <c r="K91" s="570"/>
      <c r="L91" s="570"/>
      <c r="M91" s="570"/>
      <c r="N91" s="570"/>
      <c r="O91" s="570"/>
      <c r="P91" s="570"/>
      <c r="Q91" s="570"/>
      <c r="R91" s="570"/>
      <c r="S91" s="570"/>
      <c r="T91" s="570"/>
      <c r="U91" s="570"/>
      <c r="V91" s="570"/>
      <c r="W91" s="570"/>
      <c r="X91" s="570"/>
      <c r="Y91" s="570"/>
      <c r="Z91" s="570"/>
      <c r="AA91" s="570"/>
      <c r="AB91" s="570"/>
      <c r="AC91" s="570"/>
      <c r="AD91" s="570"/>
      <c r="AE91" s="570"/>
      <c r="AF91" s="570"/>
      <c r="AG91" s="570"/>
      <c r="AH91" s="570"/>
      <c r="AI91" s="570"/>
      <c r="AJ91" s="570"/>
      <c r="AK91" s="570"/>
      <c r="AL91" s="571"/>
    </row>
    <row r="92" spans="4:38" ht="18">
      <c r="D92" s="572"/>
      <c r="E92" s="894" t="s">
        <v>434</v>
      </c>
      <c r="F92" s="894"/>
      <c r="G92" s="894"/>
      <c r="H92" s="894"/>
      <c r="I92" s="894"/>
      <c r="J92" s="894"/>
      <c r="K92" s="894"/>
      <c r="L92" s="894"/>
      <c r="M92" s="894"/>
      <c r="N92" s="894"/>
      <c r="O92" s="894"/>
      <c r="P92" s="894"/>
      <c r="Q92" s="894"/>
      <c r="R92" s="894"/>
      <c r="S92" s="894"/>
      <c r="T92" s="894"/>
      <c r="U92" s="894"/>
      <c r="V92" s="894"/>
      <c r="W92" s="894"/>
      <c r="X92" s="894"/>
      <c r="Y92" s="894"/>
      <c r="Z92" s="14"/>
      <c r="AL92" s="573"/>
    </row>
    <row r="93" spans="4:38" ht="15" thickBot="1">
      <c r="D93" s="572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L93" s="573"/>
    </row>
    <row r="94" spans="4:38" ht="15" thickBot="1">
      <c r="D94" s="572"/>
      <c r="E94" s="14"/>
      <c r="F94" s="14"/>
      <c r="G94" s="14"/>
      <c r="H94" s="14"/>
      <c r="J94" s="11"/>
      <c r="K94" s="11"/>
      <c r="L94" s="12"/>
      <c r="M94" s="581" t="s">
        <v>428</v>
      </c>
      <c r="N94" s="609">
        <f>'SCE Savings'!I21</f>
        <v>83.708437135002782</v>
      </c>
      <c r="O94" s="611">
        <f>'PG&amp;E Savings'!I21</f>
        <v>49.044119454825641</v>
      </c>
      <c r="P94" s="611">
        <f>'SDG&amp;E Savings'!I21</f>
        <v>80.788921656394848</v>
      </c>
      <c r="Q94" s="613">
        <f>'SCG Savings'!I21</f>
        <v>91.0706868124077</v>
      </c>
      <c r="R94" s="580"/>
      <c r="S94" s="580"/>
      <c r="T94" s="580"/>
      <c r="U94" s="580"/>
      <c r="V94" s="580"/>
      <c r="W94" s="580"/>
      <c r="X94" s="580"/>
      <c r="Y94" s="580"/>
      <c r="Z94" s="580"/>
      <c r="AA94" s="98"/>
      <c r="AB94" s="98"/>
      <c r="AC94" s="98"/>
      <c r="AD94" s="98"/>
      <c r="AE94" s="98"/>
      <c r="AF94" s="98"/>
      <c r="AG94" s="98"/>
      <c r="AH94" s="98"/>
      <c r="AI94" s="98"/>
      <c r="AJ94" s="98"/>
      <c r="AK94" s="98"/>
      <c r="AL94" s="573"/>
    </row>
    <row r="95" spans="4:38">
      <c r="D95" s="572"/>
      <c r="E95" s="14"/>
      <c r="F95" s="14"/>
      <c r="G95" s="14"/>
      <c r="H95" s="14"/>
      <c r="I95" s="14"/>
      <c r="J95" s="14"/>
      <c r="K95" s="14"/>
      <c r="L95" s="14"/>
      <c r="M95" s="14"/>
      <c r="N95" s="615" t="s">
        <v>387</v>
      </c>
      <c r="O95" s="615" t="s">
        <v>387</v>
      </c>
      <c r="P95" s="615" t="s">
        <v>387</v>
      </c>
      <c r="Q95" s="615" t="s">
        <v>387</v>
      </c>
      <c r="R95" s="615" t="s">
        <v>387</v>
      </c>
      <c r="S95" s="615" t="s">
        <v>387</v>
      </c>
      <c r="T95" s="615" t="s">
        <v>387</v>
      </c>
      <c r="U95" s="615" t="s">
        <v>387</v>
      </c>
      <c r="V95" s="615" t="s">
        <v>387</v>
      </c>
      <c r="W95" s="615" t="s">
        <v>387</v>
      </c>
      <c r="X95" s="615" t="s">
        <v>387</v>
      </c>
      <c r="Y95" s="615" t="s">
        <v>387</v>
      </c>
      <c r="Z95" s="615" t="s">
        <v>387</v>
      </c>
      <c r="AA95" s="615" t="s">
        <v>387</v>
      </c>
      <c r="AB95" s="615" t="s">
        <v>387</v>
      </c>
      <c r="AC95" s="615" t="s">
        <v>387</v>
      </c>
      <c r="AD95" s="615" t="s">
        <v>387</v>
      </c>
      <c r="AE95" s="615" t="s">
        <v>387</v>
      </c>
      <c r="AF95" s="615" t="s">
        <v>387</v>
      </c>
      <c r="AG95" s="615" t="s">
        <v>387</v>
      </c>
      <c r="AH95" s="615" t="s">
        <v>387</v>
      </c>
      <c r="AI95" s="615" t="s">
        <v>387</v>
      </c>
      <c r="AJ95" s="615" t="s">
        <v>387</v>
      </c>
      <c r="AK95" s="615" t="s">
        <v>387</v>
      </c>
      <c r="AL95" s="573"/>
    </row>
    <row r="96" spans="4:38">
      <c r="D96" s="572"/>
      <c r="E96" s="14"/>
      <c r="F96" s="14"/>
      <c r="G96" s="14"/>
      <c r="H96" s="14"/>
      <c r="I96" s="14"/>
      <c r="J96" s="14"/>
      <c r="K96" s="575"/>
      <c r="L96" s="575"/>
      <c r="M96" s="575"/>
      <c r="N96" s="615" t="s">
        <v>345</v>
      </c>
      <c r="O96" s="615" t="s">
        <v>345</v>
      </c>
      <c r="P96" s="615" t="s">
        <v>345</v>
      </c>
      <c r="Q96" s="615" t="s">
        <v>345</v>
      </c>
      <c r="R96" s="615" t="s">
        <v>345</v>
      </c>
      <c r="S96" s="615" t="s">
        <v>345</v>
      </c>
      <c r="T96" s="615" t="s">
        <v>345</v>
      </c>
      <c r="U96" s="615" t="s">
        <v>345</v>
      </c>
      <c r="V96" s="615" t="s">
        <v>345</v>
      </c>
      <c r="W96" s="615" t="s">
        <v>345</v>
      </c>
      <c r="X96" s="615" t="s">
        <v>345</v>
      </c>
      <c r="Y96" s="615" t="s">
        <v>345</v>
      </c>
      <c r="Z96" s="615" t="s">
        <v>399</v>
      </c>
      <c r="AA96" s="615" t="s">
        <v>399</v>
      </c>
      <c r="AB96" s="615" t="s">
        <v>399</v>
      </c>
      <c r="AC96" s="615" t="s">
        <v>399</v>
      </c>
      <c r="AD96" s="615" t="s">
        <v>399</v>
      </c>
      <c r="AE96" s="615" t="s">
        <v>399</v>
      </c>
      <c r="AF96" s="615" t="s">
        <v>399</v>
      </c>
      <c r="AG96" s="615" t="s">
        <v>399</v>
      </c>
      <c r="AH96" s="615" t="s">
        <v>399</v>
      </c>
      <c r="AI96" s="615" t="s">
        <v>399</v>
      </c>
      <c r="AJ96" s="615" t="s">
        <v>399</v>
      </c>
      <c r="AK96" s="615" t="s">
        <v>399</v>
      </c>
      <c r="AL96" s="573"/>
    </row>
    <row r="97" spans="4:75">
      <c r="D97" s="572"/>
      <c r="E97" s="14" t="s">
        <v>427</v>
      </c>
      <c r="F97" s="14"/>
      <c r="G97" s="14"/>
      <c r="H97" s="14"/>
      <c r="I97" s="14"/>
      <c r="J97" s="14"/>
      <c r="K97" s="657"/>
      <c r="L97" s="656" t="s">
        <v>458</v>
      </c>
      <c r="M97" s="658"/>
      <c r="N97" s="888" t="s">
        <v>419</v>
      </c>
      <c r="O97" s="889"/>
      <c r="P97" s="889"/>
      <c r="Q97" s="890"/>
      <c r="R97" s="888" t="s">
        <v>420</v>
      </c>
      <c r="S97" s="889"/>
      <c r="T97" s="889"/>
      <c r="U97" s="890"/>
      <c r="V97" s="888" t="s">
        <v>421</v>
      </c>
      <c r="W97" s="889"/>
      <c r="X97" s="889"/>
      <c r="Y97" s="890"/>
      <c r="Z97" s="888" t="s">
        <v>419</v>
      </c>
      <c r="AA97" s="889"/>
      <c r="AB97" s="889"/>
      <c r="AC97" s="890"/>
      <c r="AD97" s="888" t="s">
        <v>420</v>
      </c>
      <c r="AE97" s="889"/>
      <c r="AF97" s="889"/>
      <c r="AG97" s="890"/>
      <c r="AH97" s="888" t="s">
        <v>421</v>
      </c>
      <c r="AI97" s="889"/>
      <c r="AJ97" s="889"/>
      <c r="AK97" s="890"/>
      <c r="AL97" s="573"/>
    </row>
    <row r="98" spans="4:75" ht="14.4" customHeight="1">
      <c r="D98" s="572"/>
      <c r="E98" s="867" t="s">
        <v>332</v>
      </c>
      <c r="F98" s="868"/>
      <c r="G98" s="868"/>
      <c r="H98" s="868"/>
      <c r="I98" s="868"/>
      <c r="J98" s="869"/>
      <c r="K98" s="873" t="s">
        <v>469</v>
      </c>
      <c r="L98" s="865" t="s">
        <v>459</v>
      </c>
      <c r="M98" s="866"/>
      <c r="N98" s="891" t="s">
        <v>423</v>
      </c>
      <c r="O98" s="892"/>
      <c r="P98" s="892"/>
      <c r="Q98" s="893"/>
      <c r="R98" s="891" t="s">
        <v>423</v>
      </c>
      <c r="S98" s="892"/>
      <c r="T98" s="892"/>
      <c r="U98" s="893"/>
      <c r="V98" s="891" t="s">
        <v>423</v>
      </c>
      <c r="W98" s="892"/>
      <c r="X98" s="892"/>
      <c r="Y98" s="893"/>
      <c r="Z98" s="891" t="s">
        <v>424</v>
      </c>
      <c r="AA98" s="892"/>
      <c r="AB98" s="892"/>
      <c r="AC98" s="893"/>
      <c r="AD98" s="891" t="s">
        <v>424</v>
      </c>
      <c r="AE98" s="892"/>
      <c r="AF98" s="892"/>
      <c r="AG98" s="893"/>
      <c r="AH98" s="891" t="s">
        <v>424</v>
      </c>
      <c r="AI98" s="892"/>
      <c r="AJ98" s="892"/>
      <c r="AK98" s="893"/>
      <c r="AL98" s="573"/>
    </row>
    <row r="99" spans="4:75">
      <c r="D99" s="572"/>
      <c r="E99" s="870"/>
      <c r="F99" s="871"/>
      <c r="G99" s="871"/>
      <c r="H99" s="871"/>
      <c r="I99" s="871"/>
      <c r="J99" s="872"/>
      <c r="K99" s="874"/>
      <c r="L99" s="654" t="s">
        <v>460</v>
      </c>
      <c r="M99" s="639" t="s">
        <v>461</v>
      </c>
      <c r="N99" s="594" t="s">
        <v>16</v>
      </c>
      <c r="O99" s="595" t="s">
        <v>237</v>
      </c>
      <c r="P99" s="595" t="s">
        <v>395</v>
      </c>
      <c r="Q99" s="596" t="s">
        <v>301</v>
      </c>
      <c r="R99" s="594" t="s">
        <v>16</v>
      </c>
      <c r="S99" s="595" t="s">
        <v>237</v>
      </c>
      <c r="T99" s="595" t="s">
        <v>395</v>
      </c>
      <c r="U99" s="596" t="s">
        <v>301</v>
      </c>
      <c r="V99" s="594" t="s">
        <v>16</v>
      </c>
      <c r="W99" s="595" t="s">
        <v>237</v>
      </c>
      <c r="X99" s="595" t="s">
        <v>395</v>
      </c>
      <c r="Y99" s="596" t="s">
        <v>301</v>
      </c>
      <c r="Z99" s="594" t="s">
        <v>16</v>
      </c>
      <c r="AA99" s="595" t="s">
        <v>237</v>
      </c>
      <c r="AB99" s="595" t="s">
        <v>395</v>
      </c>
      <c r="AC99" s="596" t="s">
        <v>301</v>
      </c>
      <c r="AD99" s="594" t="s">
        <v>16</v>
      </c>
      <c r="AE99" s="595" t="s">
        <v>237</v>
      </c>
      <c r="AF99" s="595" t="s">
        <v>395</v>
      </c>
      <c r="AG99" s="596" t="s">
        <v>301</v>
      </c>
      <c r="AH99" s="594" t="s">
        <v>16</v>
      </c>
      <c r="AI99" s="595" t="s">
        <v>237</v>
      </c>
      <c r="AJ99" s="595" t="s">
        <v>395</v>
      </c>
      <c r="AK99" s="596" t="s">
        <v>301</v>
      </c>
      <c r="AL99" s="573"/>
    </row>
    <row r="100" spans="4:75">
      <c r="D100" s="572"/>
      <c r="E100" s="477" t="s">
        <v>333</v>
      </c>
      <c r="F100" s="478"/>
      <c r="G100" s="478"/>
      <c r="H100" s="478"/>
      <c r="I100" s="478"/>
      <c r="J100" s="479"/>
      <c r="K100" s="531">
        <f>K66</f>
        <v>0</v>
      </c>
      <c r="L100" s="640">
        <f t="shared" ref="L100:M100" si="60">L66</f>
        <v>0</v>
      </c>
      <c r="M100" s="640">
        <f t="shared" si="60"/>
        <v>0</v>
      </c>
      <c r="N100" s="585">
        <f t="shared" ref="N100:AK100" si="61">VLOOKUP(N$31&amp;N$27&amp;N$28,t.MFAMCommonUESSummary,N122,FALSE)</f>
        <v>59.422690722969158</v>
      </c>
      <c r="O100" s="586">
        <f t="shared" si="61"/>
        <v>32.526361406717022</v>
      </c>
      <c r="P100" s="586">
        <f t="shared" si="61"/>
        <v>55.540655360368596</v>
      </c>
      <c r="Q100" s="587">
        <f t="shared" si="61"/>
        <v>64.668950786885617</v>
      </c>
      <c r="R100" s="585">
        <f t="shared" si="61"/>
        <v>44.56701804222687</v>
      </c>
      <c r="S100" s="586">
        <f t="shared" si="61"/>
        <v>24.394771055037765</v>
      </c>
      <c r="T100" s="586">
        <f t="shared" si="61"/>
        <v>41.655491520276449</v>
      </c>
      <c r="U100" s="587">
        <f t="shared" si="61"/>
        <v>48.501713090164209</v>
      </c>
      <c r="V100" s="585">
        <f t="shared" si="61"/>
        <v>29.711345361484579</v>
      </c>
      <c r="W100" s="586">
        <f t="shared" si="61"/>
        <v>16.263180703358511</v>
      </c>
      <c r="X100" s="586">
        <f t="shared" si="61"/>
        <v>27.770327680184298</v>
      </c>
      <c r="Y100" s="587">
        <f t="shared" si="61"/>
        <v>32.334475393442808</v>
      </c>
      <c r="Z100" s="585">
        <f t="shared" si="61"/>
        <v>23.587568503780183</v>
      </c>
      <c r="AA100" s="586">
        <f t="shared" si="61"/>
        <v>14.620714197020773</v>
      </c>
      <c r="AB100" s="586">
        <f t="shared" si="61"/>
        <v>22.260729662616363</v>
      </c>
      <c r="AC100" s="587">
        <f t="shared" si="61"/>
        <v>25.582593565867736</v>
      </c>
      <c r="AD100" s="585">
        <f t="shared" si="61"/>
        <v>17.690676377835139</v>
      </c>
      <c r="AE100" s="586">
        <f t="shared" si="61"/>
        <v>10.965535647765579</v>
      </c>
      <c r="AF100" s="586">
        <f t="shared" si="61"/>
        <v>16.695547246962274</v>
      </c>
      <c r="AG100" s="587">
        <f t="shared" si="61"/>
        <v>19.186945174400805</v>
      </c>
      <c r="AH100" s="585">
        <f t="shared" si="61"/>
        <v>11.793784251890091</v>
      </c>
      <c r="AI100" s="586">
        <f t="shared" si="61"/>
        <v>7.3103570985103863</v>
      </c>
      <c r="AJ100" s="586">
        <f t="shared" si="61"/>
        <v>11.130364831308182</v>
      </c>
      <c r="AK100" s="587">
        <f t="shared" si="61"/>
        <v>12.791296782933868</v>
      </c>
      <c r="AL100" s="573"/>
    </row>
    <row r="101" spans="4:75">
      <c r="D101" s="572"/>
      <c r="E101" s="477" t="s">
        <v>334</v>
      </c>
      <c r="F101" s="478"/>
      <c r="G101" s="478"/>
      <c r="H101" s="478"/>
      <c r="I101" s="478"/>
      <c r="J101" s="479"/>
      <c r="K101" s="531">
        <f t="shared" ref="K101:M108" si="62">K67</f>
        <v>0</v>
      </c>
      <c r="L101" s="640">
        <f t="shared" si="62"/>
        <v>0</v>
      </c>
      <c r="M101" s="640">
        <f t="shared" si="62"/>
        <v>0</v>
      </c>
      <c r="N101" s="585">
        <v>0</v>
      </c>
      <c r="O101" s="586">
        <v>0</v>
      </c>
      <c r="P101" s="586">
        <v>0</v>
      </c>
      <c r="Q101" s="587">
        <v>0</v>
      </c>
      <c r="R101" s="585">
        <v>0</v>
      </c>
      <c r="S101" s="586">
        <v>0</v>
      </c>
      <c r="T101" s="586">
        <v>0</v>
      </c>
      <c r="U101" s="587">
        <v>0</v>
      </c>
      <c r="V101" s="585">
        <v>0</v>
      </c>
      <c r="W101" s="586">
        <v>0</v>
      </c>
      <c r="X101" s="586">
        <v>0</v>
      </c>
      <c r="Y101" s="587">
        <v>0</v>
      </c>
      <c r="Z101" s="585">
        <v>0</v>
      </c>
      <c r="AA101" s="586">
        <v>0</v>
      </c>
      <c r="AB101" s="586">
        <v>0</v>
      </c>
      <c r="AC101" s="587">
        <v>0</v>
      </c>
      <c r="AD101" s="585">
        <v>0</v>
      </c>
      <c r="AE101" s="586">
        <v>0</v>
      </c>
      <c r="AF101" s="586">
        <v>0</v>
      </c>
      <c r="AG101" s="587">
        <v>0</v>
      </c>
      <c r="AH101" s="585">
        <v>0</v>
      </c>
      <c r="AI101" s="586">
        <v>0</v>
      </c>
      <c r="AJ101" s="586">
        <v>0</v>
      </c>
      <c r="AK101" s="587">
        <v>0</v>
      </c>
      <c r="AL101" s="573"/>
    </row>
    <row r="102" spans="4:75">
      <c r="D102" s="572"/>
      <c r="E102" s="477" t="s">
        <v>335</v>
      </c>
      <c r="F102" s="478"/>
      <c r="G102" s="478"/>
      <c r="H102" s="478"/>
      <c r="I102" s="478"/>
      <c r="J102" s="479"/>
      <c r="K102" s="531">
        <f t="shared" si="62"/>
        <v>0</v>
      </c>
      <c r="L102" s="640">
        <f t="shared" si="62"/>
        <v>0.16666666666666666</v>
      </c>
      <c r="M102" s="640">
        <f t="shared" si="62"/>
        <v>0.2</v>
      </c>
      <c r="N102" s="585">
        <v>0</v>
      </c>
      <c r="O102" s="586">
        <v>0</v>
      </c>
      <c r="P102" s="586">
        <v>0</v>
      </c>
      <c r="Q102" s="587">
        <v>0</v>
      </c>
      <c r="R102" s="585">
        <v>0</v>
      </c>
      <c r="S102" s="586">
        <v>0</v>
      </c>
      <c r="T102" s="586">
        <v>0</v>
      </c>
      <c r="U102" s="587">
        <v>0</v>
      </c>
      <c r="V102" s="585">
        <v>0</v>
      </c>
      <c r="W102" s="586">
        <v>0</v>
      </c>
      <c r="X102" s="586">
        <v>0</v>
      </c>
      <c r="Y102" s="587">
        <v>0</v>
      </c>
      <c r="Z102" s="585">
        <v>0</v>
      </c>
      <c r="AA102" s="586">
        <v>0</v>
      </c>
      <c r="AB102" s="586">
        <v>0</v>
      </c>
      <c r="AC102" s="587">
        <v>0</v>
      </c>
      <c r="AD102" s="585">
        <v>0</v>
      </c>
      <c r="AE102" s="586">
        <v>0</v>
      </c>
      <c r="AF102" s="586">
        <v>0</v>
      </c>
      <c r="AG102" s="587">
        <v>0</v>
      </c>
      <c r="AH102" s="585">
        <v>0</v>
      </c>
      <c r="AI102" s="586">
        <v>0</v>
      </c>
      <c r="AJ102" s="586">
        <v>0</v>
      </c>
      <c r="AK102" s="587">
        <v>0</v>
      </c>
      <c r="AL102" s="573"/>
    </row>
    <row r="103" spans="4:75">
      <c r="D103" s="572"/>
      <c r="E103" s="477" t="s">
        <v>336</v>
      </c>
      <c r="F103" s="478"/>
      <c r="G103" s="478"/>
      <c r="H103" s="478"/>
      <c r="I103" s="478"/>
      <c r="J103" s="479"/>
      <c r="K103" s="531">
        <f t="shared" si="62"/>
        <v>0</v>
      </c>
      <c r="L103" s="640">
        <f t="shared" si="62"/>
        <v>0.16666666666666666</v>
      </c>
      <c r="M103" s="640">
        <f t="shared" si="62"/>
        <v>0.1</v>
      </c>
      <c r="N103" s="585">
        <f t="shared" ref="N103:AK103" si="63">VLOOKUP(N$31&amp;N$27&amp;N$28,t.MFAMCommonUESSummary,N122,FALSE)</f>
        <v>59.422690722969158</v>
      </c>
      <c r="O103" s="586">
        <f t="shared" si="63"/>
        <v>32.526361406717022</v>
      </c>
      <c r="P103" s="586">
        <f t="shared" si="63"/>
        <v>55.540655360368596</v>
      </c>
      <c r="Q103" s="587">
        <f t="shared" si="63"/>
        <v>64.668950786885617</v>
      </c>
      <c r="R103" s="585">
        <f t="shared" si="63"/>
        <v>44.56701804222687</v>
      </c>
      <c r="S103" s="586">
        <f t="shared" si="63"/>
        <v>24.394771055037765</v>
      </c>
      <c r="T103" s="586">
        <f t="shared" si="63"/>
        <v>41.655491520276449</v>
      </c>
      <c r="U103" s="587">
        <f t="shared" si="63"/>
        <v>48.501713090164209</v>
      </c>
      <c r="V103" s="585">
        <f t="shared" si="63"/>
        <v>29.711345361484579</v>
      </c>
      <c r="W103" s="586">
        <f t="shared" si="63"/>
        <v>16.263180703358511</v>
      </c>
      <c r="X103" s="586">
        <f t="shared" si="63"/>
        <v>27.770327680184298</v>
      </c>
      <c r="Y103" s="587">
        <f t="shared" si="63"/>
        <v>32.334475393442808</v>
      </c>
      <c r="Z103" s="585">
        <f t="shared" si="63"/>
        <v>23.587568503780183</v>
      </c>
      <c r="AA103" s="586">
        <f t="shared" si="63"/>
        <v>14.620714197020773</v>
      </c>
      <c r="AB103" s="586">
        <f t="shared" si="63"/>
        <v>22.260729662616363</v>
      </c>
      <c r="AC103" s="587">
        <f t="shared" si="63"/>
        <v>25.582593565867736</v>
      </c>
      <c r="AD103" s="585">
        <f t="shared" si="63"/>
        <v>17.690676377835139</v>
      </c>
      <c r="AE103" s="586">
        <f t="shared" si="63"/>
        <v>10.965535647765579</v>
      </c>
      <c r="AF103" s="586">
        <f t="shared" si="63"/>
        <v>16.695547246962274</v>
      </c>
      <c r="AG103" s="587">
        <f t="shared" si="63"/>
        <v>19.186945174400805</v>
      </c>
      <c r="AH103" s="585">
        <f t="shared" si="63"/>
        <v>11.793784251890091</v>
      </c>
      <c r="AI103" s="586">
        <f t="shared" si="63"/>
        <v>7.3103570985103863</v>
      </c>
      <c r="AJ103" s="586">
        <f t="shared" si="63"/>
        <v>11.130364831308182</v>
      </c>
      <c r="AK103" s="587">
        <f t="shared" si="63"/>
        <v>12.791296782933868</v>
      </c>
      <c r="AL103" s="573"/>
    </row>
    <row r="104" spans="4:75">
      <c r="D104" s="572"/>
      <c r="E104" s="875" t="s">
        <v>343</v>
      </c>
      <c r="F104" s="480" t="s">
        <v>337</v>
      </c>
      <c r="G104" s="480"/>
      <c r="H104" s="480"/>
      <c r="I104" s="480"/>
      <c r="J104" s="481"/>
      <c r="K104" s="533">
        <f t="shared" si="62"/>
        <v>0.25</v>
      </c>
      <c r="L104" s="641">
        <f t="shared" si="62"/>
        <v>0.16666666666666666</v>
      </c>
      <c r="M104" s="641">
        <f t="shared" si="62"/>
        <v>0.17</v>
      </c>
      <c r="N104" s="588">
        <v>0</v>
      </c>
      <c r="O104" s="589">
        <v>0</v>
      </c>
      <c r="P104" s="589">
        <v>0</v>
      </c>
      <c r="Q104" s="590">
        <v>0</v>
      </c>
      <c r="R104" s="588">
        <v>0</v>
      </c>
      <c r="S104" s="589">
        <v>0</v>
      </c>
      <c r="T104" s="589">
        <v>0</v>
      </c>
      <c r="U104" s="590">
        <v>0</v>
      </c>
      <c r="V104" s="588">
        <v>0</v>
      </c>
      <c r="W104" s="589">
        <v>0</v>
      </c>
      <c r="X104" s="589">
        <v>0</v>
      </c>
      <c r="Y104" s="590">
        <v>0</v>
      </c>
      <c r="Z104" s="588">
        <v>0</v>
      </c>
      <c r="AA104" s="589">
        <v>0</v>
      </c>
      <c r="AB104" s="589">
        <v>0</v>
      </c>
      <c r="AC104" s="590">
        <v>0</v>
      </c>
      <c r="AD104" s="588">
        <v>0</v>
      </c>
      <c r="AE104" s="589">
        <v>0</v>
      </c>
      <c r="AF104" s="589">
        <v>0</v>
      </c>
      <c r="AG104" s="590">
        <v>0</v>
      </c>
      <c r="AH104" s="588">
        <v>0</v>
      </c>
      <c r="AI104" s="589">
        <v>0</v>
      </c>
      <c r="AJ104" s="589">
        <v>0</v>
      </c>
      <c r="AK104" s="590">
        <v>0</v>
      </c>
      <c r="AL104" s="573"/>
    </row>
    <row r="105" spans="4:75">
      <c r="D105" s="572"/>
      <c r="E105" s="876"/>
      <c r="F105" s="483" t="s">
        <v>338</v>
      </c>
      <c r="G105" s="483"/>
      <c r="H105" s="483"/>
      <c r="I105" s="483"/>
      <c r="J105" s="484"/>
      <c r="K105" s="534">
        <f t="shared" si="62"/>
        <v>0.25</v>
      </c>
      <c r="L105" s="642">
        <f t="shared" si="62"/>
        <v>0.16666666666666666</v>
      </c>
      <c r="M105" s="642">
        <f t="shared" si="62"/>
        <v>0.25</v>
      </c>
      <c r="N105" s="591">
        <f t="shared" ref="N105:AK105" si="64">VLOOKUP(N$31&amp;N$27&amp;N$28,t.MFAMCommonUESSummary,N122,FALSE)</f>
        <v>59.422690722969158</v>
      </c>
      <c r="O105" s="592">
        <f t="shared" si="64"/>
        <v>32.526361406717022</v>
      </c>
      <c r="P105" s="592">
        <f t="shared" si="64"/>
        <v>55.540655360368596</v>
      </c>
      <c r="Q105" s="593">
        <f t="shared" si="64"/>
        <v>64.668950786885617</v>
      </c>
      <c r="R105" s="591">
        <f t="shared" si="64"/>
        <v>44.56701804222687</v>
      </c>
      <c r="S105" s="592">
        <f t="shared" si="64"/>
        <v>24.394771055037765</v>
      </c>
      <c r="T105" s="592">
        <f t="shared" si="64"/>
        <v>41.655491520276449</v>
      </c>
      <c r="U105" s="593">
        <f t="shared" si="64"/>
        <v>48.501713090164209</v>
      </c>
      <c r="V105" s="591">
        <f t="shared" si="64"/>
        <v>29.711345361484579</v>
      </c>
      <c r="W105" s="592">
        <f t="shared" si="64"/>
        <v>16.263180703358511</v>
      </c>
      <c r="X105" s="592">
        <f t="shared" si="64"/>
        <v>27.770327680184298</v>
      </c>
      <c r="Y105" s="593">
        <f t="shared" si="64"/>
        <v>32.334475393442808</v>
      </c>
      <c r="Z105" s="591">
        <f t="shared" si="64"/>
        <v>23.587568503780183</v>
      </c>
      <c r="AA105" s="592">
        <f t="shared" si="64"/>
        <v>14.620714197020773</v>
      </c>
      <c r="AB105" s="592">
        <f t="shared" si="64"/>
        <v>22.260729662616363</v>
      </c>
      <c r="AC105" s="593">
        <f t="shared" si="64"/>
        <v>25.582593565867736</v>
      </c>
      <c r="AD105" s="591">
        <f t="shared" si="64"/>
        <v>17.690676377835139</v>
      </c>
      <c r="AE105" s="592">
        <f t="shared" si="64"/>
        <v>10.965535647765579</v>
      </c>
      <c r="AF105" s="592">
        <f t="shared" si="64"/>
        <v>16.695547246962274</v>
      </c>
      <c r="AG105" s="593">
        <f t="shared" si="64"/>
        <v>19.186945174400805</v>
      </c>
      <c r="AH105" s="591">
        <f t="shared" si="64"/>
        <v>11.793784251890091</v>
      </c>
      <c r="AI105" s="592">
        <f t="shared" si="64"/>
        <v>7.3103570985103863</v>
      </c>
      <c r="AJ105" s="592">
        <f t="shared" si="64"/>
        <v>11.130364831308182</v>
      </c>
      <c r="AK105" s="593">
        <f t="shared" si="64"/>
        <v>12.791296782933868</v>
      </c>
      <c r="AL105" s="573"/>
    </row>
    <row r="106" spans="4:75">
      <c r="D106" s="572"/>
      <c r="E106" s="876"/>
      <c r="F106" s="878" t="s">
        <v>339</v>
      </c>
      <c r="G106" s="878"/>
      <c r="H106" s="482" t="s">
        <v>422</v>
      </c>
      <c r="I106" s="483"/>
      <c r="J106" s="484"/>
      <c r="K106" s="534">
        <f t="shared" si="62"/>
        <v>0</v>
      </c>
      <c r="L106" s="642">
        <f t="shared" si="62"/>
        <v>0.125</v>
      </c>
      <c r="M106" s="642">
        <f t="shared" si="62"/>
        <v>0.04</v>
      </c>
      <c r="N106" s="591">
        <v>0</v>
      </c>
      <c r="O106" s="592">
        <v>0</v>
      </c>
      <c r="P106" s="592">
        <v>0</v>
      </c>
      <c r="Q106" s="593">
        <v>0</v>
      </c>
      <c r="R106" s="591">
        <v>0</v>
      </c>
      <c r="S106" s="592">
        <v>0</v>
      </c>
      <c r="T106" s="592">
        <v>0</v>
      </c>
      <c r="U106" s="593">
        <v>0</v>
      </c>
      <c r="V106" s="591">
        <v>0</v>
      </c>
      <c r="W106" s="592">
        <v>0</v>
      </c>
      <c r="X106" s="592">
        <v>0</v>
      </c>
      <c r="Y106" s="593">
        <v>0</v>
      </c>
      <c r="Z106" s="591">
        <v>0</v>
      </c>
      <c r="AA106" s="592">
        <v>0</v>
      </c>
      <c r="AB106" s="592">
        <v>0</v>
      </c>
      <c r="AC106" s="593">
        <v>0</v>
      </c>
      <c r="AD106" s="591">
        <v>0</v>
      </c>
      <c r="AE106" s="592">
        <v>0</v>
      </c>
      <c r="AF106" s="592">
        <v>0</v>
      </c>
      <c r="AG106" s="593">
        <v>0</v>
      </c>
      <c r="AH106" s="591">
        <v>0</v>
      </c>
      <c r="AI106" s="592">
        <v>0</v>
      </c>
      <c r="AJ106" s="592">
        <v>0</v>
      </c>
      <c r="AK106" s="593">
        <v>0</v>
      </c>
      <c r="AL106" s="573"/>
    </row>
    <row r="107" spans="4:75">
      <c r="D107" s="572"/>
      <c r="E107" s="877"/>
      <c r="F107" s="878"/>
      <c r="G107" s="878"/>
      <c r="H107" s="485" t="s">
        <v>340</v>
      </c>
      <c r="I107" s="486"/>
      <c r="J107" s="487"/>
      <c r="K107" s="535">
        <f t="shared" si="62"/>
        <v>0.5</v>
      </c>
      <c r="L107" s="644">
        <f t="shared" si="62"/>
        <v>4.1666666666666664E-2</v>
      </c>
      <c r="M107" s="644">
        <f t="shared" si="62"/>
        <v>4.1666666666666664E-2</v>
      </c>
      <c r="N107" s="585">
        <f t="shared" ref="N107:AK107" si="65">VLOOKUP(N$31&amp;N$27&amp;"NoRepl",t.MFAMCommonUESSummary,N122,FALSE)</f>
        <v>140.41293297855398</v>
      </c>
      <c r="O107" s="595">
        <f t="shared" si="65"/>
        <v>91.623065217487621</v>
      </c>
      <c r="P107" s="595">
        <f t="shared" si="65"/>
        <v>135.07906699504255</v>
      </c>
      <c r="Q107" s="596">
        <f t="shared" si="65"/>
        <v>152.06479675822879</v>
      </c>
      <c r="R107" s="594">
        <f t="shared" si="65"/>
        <v>105.30969973391548</v>
      </c>
      <c r="S107" s="595">
        <f t="shared" si="65"/>
        <v>68.717298913115727</v>
      </c>
      <c r="T107" s="595">
        <f t="shared" si="65"/>
        <v>101.30930024628192</v>
      </c>
      <c r="U107" s="596">
        <f t="shared" si="65"/>
        <v>114.04859756867161</v>
      </c>
      <c r="V107" s="594">
        <f t="shared" si="65"/>
        <v>70.206466489276991</v>
      </c>
      <c r="W107" s="595">
        <f t="shared" si="65"/>
        <v>45.811532608743811</v>
      </c>
      <c r="X107" s="595">
        <f t="shared" si="65"/>
        <v>67.539533497521276</v>
      </c>
      <c r="Y107" s="596">
        <f t="shared" si="65"/>
        <v>76.032398379114397</v>
      </c>
      <c r="Z107" s="594">
        <f t="shared" si="65"/>
        <v>140.41293297855398</v>
      </c>
      <c r="AA107" s="595">
        <f t="shared" si="65"/>
        <v>91.623065217487621</v>
      </c>
      <c r="AB107" s="595">
        <f t="shared" si="65"/>
        <v>135.07906699504255</v>
      </c>
      <c r="AC107" s="596">
        <f t="shared" si="65"/>
        <v>152.06479675822879</v>
      </c>
      <c r="AD107" s="594">
        <f t="shared" si="65"/>
        <v>105.30969973391548</v>
      </c>
      <c r="AE107" s="595">
        <f t="shared" si="65"/>
        <v>68.717298913115727</v>
      </c>
      <c r="AF107" s="595">
        <f t="shared" si="65"/>
        <v>101.30930024628192</v>
      </c>
      <c r="AG107" s="596">
        <f t="shared" si="65"/>
        <v>114.04859756867161</v>
      </c>
      <c r="AH107" s="594">
        <f t="shared" si="65"/>
        <v>70.206466489276991</v>
      </c>
      <c r="AI107" s="595">
        <f t="shared" si="65"/>
        <v>45.811532608743811</v>
      </c>
      <c r="AJ107" s="595">
        <f t="shared" si="65"/>
        <v>67.539533497521276</v>
      </c>
      <c r="AK107" s="596">
        <f t="shared" si="65"/>
        <v>76.032398379114397</v>
      </c>
      <c r="AL107" s="573"/>
    </row>
    <row r="108" spans="4:75" ht="15" thickBot="1">
      <c r="D108" s="572"/>
      <c r="E108" s="666" t="s">
        <v>346</v>
      </c>
      <c r="F108" s="667"/>
      <c r="G108" s="667"/>
      <c r="H108" s="667"/>
      <c r="I108" s="667"/>
      <c r="J108" s="668"/>
      <c r="K108" s="532">
        <f t="shared" si="62"/>
        <v>0</v>
      </c>
      <c r="L108" s="643">
        <f t="shared" si="62"/>
        <v>0.16666666666666666</v>
      </c>
      <c r="M108" s="643">
        <f t="shared" si="62"/>
        <v>0.2</v>
      </c>
      <c r="N108" s="585">
        <v>0</v>
      </c>
      <c r="O108" s="586">
        <v>0</v>
      </c>
      <c r="P108" s="586">
        <v>0</v>
      </c>
      <c r="Q108" s="587">
        <v>0</v>
      </c>
      <c r="R108" s="585">
        <v>0</v>
      </c>
      <c r="S108" s="586">
        <v>0</v>
      </c>
      <c r="T108" s="586">
        <v>0</v>
      </c>
      <c r="U108" s="587">
        <v>0</v>
      </c>
      <c r="V108" s="585">
        <v>0</v>
      </c>
      <c r="W108" s="586">
        <v>0</v>
      </c>
      <c r="X108" s="586">
        <v>0</v>
      </c>
      <c r="Y108" s="587">
        <v>0</v>
      </c>
      <c r="Z108" s="585">
        <v>0</v>
      </c>
      <c r="AA108" s="586">
        <v>0</v>
      </c>
      <c r="AB108" s="586">
        <v>0</v>
      </c>
      <c r="AC108" s="587">
        <v>0</v>
      </c>
      <c r="AD108" s="585">
        <v>0</v>
      </c>
      <c r="AE108" s="586">
        <v>0</v>
      </c>
      <c r="AF108" s="586">
        <v>0</v>
      </c>
      <c r="AG108" s="587">
        <v>0</v>
      </c>
      <c r="AH108" s="585">
        <v>0</v>
      </c>
      <c r="AI108" s="586">
        <v>0</v>
      </c>
      <c r="AJ108" s="586">
        <v>0</v>
      </c>
      <c r="AK108" s="587">
        <v>0</v>
      </c>
      <c r="AL108" s="573"/>
    </row>
    <row r="109" spans="4:75" ht="15" customHeight="1" thickTop="1">
      <c r="D109" s="572"/>
      <c r="E109" s="14"/>
      <c r="F109" s="14"/>
      <c r="G109" s="14"/>
      <c r="H109" s="14"/>
      <c r="I109" s="14"/>
      <c r="J109" s="14"/>
      <c r="K109" s="859" t="s">
        <v>463</v>
      </c>
      <c r="L109" s="860"/>
      <c r="M109" s="673" t="s">
        <v>464</v>
      </c>
      <c r="N109" s="689">
        <f>SUMPRODUCT($K$100:$K$108,N100:N108)</f>
        <v>85.062139170019279</v>
      </c>
      <c r="O109" s="690">
        <f t="shared" ref="O109:AK109" si="66">SUMPRODUCT($K$100:$K$108,O100:O108)</f>
        <v>53.943122960423068</v>
      </c>
      <c r="P109" s="690">
        <f t="shared" si="66"/>
        <v>81.424697337613424</v>
      </c>
      <c r="Q109" s="691">
        <f t="shared" si="66"/>
        <v>92.199636075835798</v>
      </c>
      <c r="R109" s="689">
        <f t="shared" si="66"/>
        <v>63.796604377514456</v>
      </c>
      <c r="S109" s="690">
        <f t="shared" si="66"/>
        <v>40.457342220317301</v>
      </c>
      <c r="T109" s="690">
        <f t="shared" si="66"/>
        <v>61.068523003210075</v>
      </c>
      <c r="U109" s="691">
        <f t="shared" si="66"/>
        <v>69.149727056876856</v>
      </c>
      <c r="V109" s="689">
        <f t="shared" si="66"/>
        <v>42.531069585009639</v>
      </c>
      <c r="W109" s="690">
        <f t="shared" si="66"/>
        <v>26.971561480211534</v>
      </c>
      <c r="X109" s="690">
        <f t="shared" si="66"/>
        <v>40.712348668806712</v>
      </c>
      <c r="Y109" s="691">
        <f t="shared" si="66"/>
        <v>46.099818037917899</v>
      </c>
      <c r="Z109" s="689">
        <f t="shared" si="66"/>
        <v>76.103358615222035</v>
      </c>
      <c r="AA109" s="690">
        <f t="shared" si="66"/>
        <v>49.466711157999001</v>
      </c>
      <c r="AB109" s="690">
        <f t="shared" si="66"/>
        <v>73.104715913175369</v>
      </c>
      <c r="AC109" s="691">
        <f t="shared" si="66"/>
        <v>82.428046770581332</v>
      </c>
      <c r="AD109" s="689">
        <f t="shared" si="66"/>
        <v>57.077518961416523</v>
      </c>
      <c r="AE109" s="690">
        <f t="shared" si="66"/>
        <v>37.100033368499261</v>
      </c>
      <c r="AF109" s="690">
        <f t="shared" si="66"/>
        <v>54.828536934881527</v>
      </c>
      <c r="AG109" s="691">
        <f t="shared" si="66"/>
        <v>61.821035077936003</v>
      </c>
      <c r="AH109" s="689">
        <f t="shared" si="66"/>
        <v>38.051679307611018</v>
      </c>
      <c r="AI109" s="690">
        <f t="shared" si="66"/>
        <v>24.7333555789995</v>
      </c>
      <c r="AJ109" s="690">
        <f t="shared" si="66"/>
        <v>36.552357956587684</v>
      </c>
      <c r="AK109" s="691">
        <f t="shared" si="66"/>
        <v>41.214023385290666</v>
      </c>
      <c r="AL109" s="573"/>
    </row>
    <row r="110" spans="4:75">
      <c r="D110" s="572"/>
      <c r="E110" s="14"/>
      <c r="F110" s="14"/>
      <c r="G110" s="14"/>
      <c r="H110" s="14"/>
      <c r="I110" s="14"/>
      <c r="J110" s="14"/>
      <c r="K110" s="861"/>
      <c r="L110" s="862"/>
      <c r="M110" s="659" t="s">
        <v>465</v>
      </c>
      <c r="N110" s="660">
        <f>N109/$N$94</f>
        <v>1.0161716319327916</v>
      </c>
      <c r="O110" s="661">
        <f t="shared" ref="O110:AK110" si="67">O109/$N$94</f>
        <v>0.64441679723902867</v>
      </c>
      <c r="P110" s="661">
        <f t="shared" si="67"/>
        <v>0.97271792574855742</v>
      </c>
      <c r="Q110" s="662">
        <f t="shared" si="67"/>
        <v>1.1014377908781003</v>
      </c>
      <c r="R110" s="660">
        <f t="shared" si="67"/>
        <v>0.76212872394959374</v>
      </c>
      <c r="S110" s="661">
        <f t="shared" si="67"/>
        <v>0.4833125979292715</v>
      </c>
      <c r="T110" s="661">
        <f t="shared" si="67"/>
        <v>0.72953844431141812</v>
      </c>
      <c r="U110" s="662">
        <f t="shared" si="67"/>
        <v>0.82607834315857531</v>
      </c>
      <c r="V110" s="660">
        <f t="shared" si="67"/>
        <v>0.50808581596639579</v>
      </c>
      <c r="W110" s="661">
        <f t="shared" si="67"/>
        <v>0.32220839861951434</v>
      </c>
      <c r="X110" s="661">
        <f t="shared" si="67"/>
        <v>0.48635896287427871</v>
      </c>
      <c r="Y110" s="662">
        <f t="shared" si="67"/>
        <v>0.55071889543905017</v>
      </c>
      <c r="Z110" s="660">
        <f t="shared" si="67"/>
        <v>0.90914800490761194</v>
      </c>
      <c r="AA110" s="661">
        <f t="shared" si="67"/>
        <v>0.59094056526488936</v>
      </c>
      <c r="AB110" s="661">
        <f t="shared" si="67"/>
        <v>0.87332553820439862</v>
      </c>
      <c r="AC110" s="662">
        <f t="shared" si="67"/>
        <v>0.98470416593304122</v>
      </c>
      <c r="AD110" s="660">
        <f t="shared" si="67"/>
        <v>0.6818610036807089</v>
      </c>
      <c r="AE110" s="661">
        <f t="shared" si="67"/>
        <v>0.44320542394866713</v>
      </c>
      <c r="AF110" s="661">
        <f t="shared" si="67"/>
        <v>0.65499415365329894</v>
      </c>
      <c r="AG110" s="662">
        <f t="shared" si="67"/>
        <v>0.738528124449781</v>
      </c>
      <c r="AH110" s="660">
        <f t="shared" si="67"/>
        <v>0.45457400245380597</v>
      </c>
      <c r="AI110" s="661">
        <f t="shared" si="67"/>
        <v>0.29547028263244468</v>
      </c>
      <c r="AJ110" s="661">
        <f t="shared" si="67"/>
        <v>0.43666276910219931</v>
      </c>
      <c r="AK110" s="662">
        <f t="shared" si="67"/>
        <v>0.49235208296652061</v>
      </c>
      <c r="AL110" s="573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</row>
    <row r="111" spans="4:75">
      <c r="D111" s="572"/>
      <c r="E111" s="14"/>
      <c r="F111" s="14"/>
      <c r="G111" s="14"/>
      <c r="H111" s="14"/>
      <c r="I111" s="14"/>
      <c r="J111" s="14"/>
      <c r="K111" s="861"/>
      <c r="L111" s="862"/>
      <c r="M111" s="659"/>
      <c r="N111" s="663"/>
      <c r="O111" s="664"/>
      <c r="P111" s="664"/>
      <c r="Q111" s="665"/>
      <c r="R111" s="663"/>
      <c r="S111" s="664"/>
      <c r="T111" s="664"/>
      <c r="U111" s="665"/>
      <c r="V111" s="663"/>
      <c r="W111" s="664"/>
      <c r="X111" s="664"/>
      <c r="Y111" s="665"/>
      <c r="Z111" s="663"/>
      <c r="AA111" s="664"/>
      <c r="AB111" s="664"/>
      <c r="AC111" s="665"/>
      <c r="AD111" s="663"/>
      <c r="AE111" s="664"/>
      <c r="AF111" s="664"/>
      <c r="AG111" s="665"/>
      <c r="AH111" s="663"/>
      <c r="AI111" s="664"/>
      <c r="AJ111" s="664"/>
      <c r="AK111" s="665"/>
      <c r="AL111" s="573"/>
      <c r="AN111" s="14"/>
      <c r="AO111" s="14"/>
      <c r="AP111" s="14"/>
      <c r="AQ111" s="14"/>
      <c r="AR111" s="14"/>
      <c r="AS111" s="14"/>
      <c r="AT111" s="14"/>
      <c r="AU111" s="14"/>
      <c r="AV111" s="702"/>
      <c r="AW111" s="702"/>
      <c r="AX111" s="702"/>
      <c r="AY111" s="702"/>
      <c r="AZ111" s="702"/>
      <c r="BA111" s="702"/>
      <c r="BB111" s="702"/>
      <c r="BC111" s="702"/>
      <c r="BD111" s="702"/>
      <c r="BE111" s="702"/>
      <c r="BF111" s="702"/>
      <c r="BG111" s="702"/>
      <c r="BH111" s="702"/>
      <c r="BI111" s="702"/>
      <c r="BJ111" s="702"/>
      <c r="BK111" s="702"/>
      <c r="BL111" s="702"/>
      <c r="BM111" s="702"/>
      <c r="BN111" s="702"/>
      <c r="BO111" s="702"/>
      <c r="BP111" s="702"/>
      <c r="BQ111" s="702"/>
      <c r="BR111" s="702"/>
      <c r="BS111" s="702"/>
      <c r="BT111" s="14"/>
      <c r="BU111" s="14"/>
      <c r="BV111" s="14"/>
      <c r="BW111" s="14"/>
    </row>
    <row r="112" spans="4:75" ht="15" thickBot="1">
      <c r="D112" s="572"/>
      <c r="E112" s="14"/>
      <c r="F112" s="14"/>
      <c r="G112" s="14"/>
      <c r="H112" s="14"/>
      <c r="I112" s="14"/>
      <c r="J112" s="14"/>
      <c r="K112" s="863"/>
      <c r="L112" s="864"/>
      <c r="M112" s="677"/>
      <c r="N112" s="678"/>
      <c r="O112" s="679"/>
      <c r="P112" s="679"/>
      <c r="Q112" s="680"/>
      <c r="R112" s="678"/>
      <c r="S112" s="679"/>
      <c r="T112" s="679"/>
      <c r="U112" s="680"/>
      <c r="V112" s="678"/>
      <c r="W112" s="679"/>
      <c r="X112" s="679"/>
      <c r="Y112" s="680"/>
      <c r="Z112" s="678"/>
      <c r="AA112" s="679"/>
      <c r="AB112" s="679"/>
      <c r="AC112" s="680"/>
      <c r="AD112" s="678"/>
      <c r="AE112" s="679"/>
      <c r="AF112" s="679"/>
      <c r="AG112" s="680"/>
      <c r="AH112" s="678"/>
      <c r="AI112" s="679"/>
      <c r="AJ112" s="679"/>
      <c r="AK112" s="680"/>
      <c r="AL112" s="573"/>
      <c r="AN112" s="14"/>
      <c r="AO112" s="14"/>
      <c r="AP112" s="14"/>
      <c r="AQ112" s="14"/>
      <c r="AR112" s="14"/>
      <c r="AS112" s="14"/>
      <c r="AT112" s="14"/>
      <c r="AU112" s="14"/>
      <c r="AV112" s="652"/>
      <c r="AW112" s="652"/>
      <c r="AX112" s="652"/>
      <c r="AY112" s="652"/>
      <c r="AZ112" s="652"/>
      <c r="BA112" s="652"/>
      <c r="BB112" s="652"/>
      <c r="BC112" s="652"/>
      <c r="BD112" s="652"/>
      <c r="BE112" s="652"/>
      <c r="BF112" s="652"/>
      <c r="BG112" s="652"/>
      <c r="BH112" s="652"/>
      <c r="BI112" s="652"/>
      <c r="BJ112" s="652"/>
      <c r="BK112" s="652"/>
      <c r="BL112" s="652"/>
      <c r="BM112" s="652"/>
      <c r="BN112" s="652"/>
      <c r="BO112" s="652"/>
      <c r="BP112" s="652"/>
      <c r="BQ112" s="652"/>
      <c r="BR112" s="652"/>
      <c r="BS112" s="652"/>
      <c r="BT112" s="14"/>
      <c r="BU112" s="14"/>
      <c r="BV112" s="14"/>
      <c r="BW112" s="14"/>
    </row>
    <row r="113" spans="4:75" ht="15.75" customHeight="1" thickTop="1">
      <c r="D113" s="572"/>
      <c r="E113" s="14"/>
      <c r="F113" s="14"/>
      <c r="G113" s="14"/>
      <c r="H113" s="14"/>
      <c r="I113" s="14"/>
      <c r="J113" s="14"/>
      <c r="K113" s="859" t="s">
        <v>467</v>
      </c>
      <c r="L113" s="860"/>
      <c r="M113" s="673" t="s">
        <v>464</v>
      </c>
      <c r="N113" s="689">
        <f>SUMPRODUCT($L$100:$L$108,N100:N108)</f>
        <v>25.658102448429467</v>
      </c>
      <c r="O113" s="690">
        <f t="shared" ref="O113:AK113" si="68">SUMPRODUCT($L$100:$L$108,O100:O108)</f>
        <v>14.659748186300991</v>
      </c>
      <c r="P113" s="690">
        <f t="shared" si="68"/>
        <v>24.141846244916302</v>
      </c>
      <c r="Q113" s="691">
        <f t="shared" si="68"/>
        <v>27.892350127221402</v>
      </c>
      <c r="R113" s="689">
        <f t="shared" si="68"/>
        <v>19.243576836322099</v>
      </c>
      <c r="S113" s="690">
        <f t="shared" si="68"/>
        <v>10.994811139725742</v>
      </c>
      <c r="T113" s="690">
        <f t="shared" si="68"/>
        <v>18.106384683687228</v>
      </c>
      <c r="U113" s="691">
        <f t="shared" si="68"/>
        <v>20.91926259541605</v>
      </c>
      <c r="V113" s="689">
        <f t="shared" si="68"/>
        <v>12.829051224214734</v>
      </c>
      <c r="W113" s="690">
        <f t="shared" si="68"/>
        <v>7.3298740931504955</v>
      </c>
      <c r="X113" s="690">
        <f t="shared" si="68"/>
        <v>12.070923122458151</v>
      </c>
      <c r="Y113" s="691">
        <f t="shared" si="68"/>
        <v>13.946175063610701</v>
      </c>
      <c r="Z113" s="689">
        <f t="shared" si="68"/>
        <v>13.71306170869981</v>
      </c>
      <c r="AA113" s="690">
        <f t="shared" si="68"/>
        <v>8.6911991164022417</v>
      </c>
      <c r="AB113" s="690">
        <f t="shared" si="68"/>
        <v>13.048537678998894</v>
      </c>
      <c r="AC113" s="691">
        <f t="shared" si="68"/>
        <v>14.863564386882111</v>
      </c>
      <c r="AD113" s="689">
        <f t="shared" si="68"/>
        <v>10.284796281524857</v>
      </c>
      <c r="AE113" s="690">
        <f t="shared" si="68"/>
        <v>6.5183993373016813</v>
      </c>
      <c r="AF113" s="690">
        <f t="shared" si="68"/>
        <v>9.7864032592491697</v>
      </c>
      <c r="AG113" s="691">
        <f t="shared" si="68"/>
        <v>11.147673290161585</v>
      </c>
      <c r="AH113" s="689">
        <f t="shared" si="68"/>
        <v>6.8565308543499048</v>
      </c>
      <c r="AI113" s="690">
        <f t="shared" si="68"/>
        <v>4.3455995582011209</v>
      </c>
      <c r="AJ113" s="690">
        <f t="shared" si="68"/>
        <v>6.524268839499447</v>
      </c>
      <c r="AK113" s="691">
        <f t="shared" si="68"/>
        <v>7.4317821934410553</v>
      </c>
      <c r="AL113" s="573"/>
      <c r="AN113" s="14"/>
      <c r="AO113" s="14"/>
      <c r="AP113" s="14"/>
      <c r="AQ113" s="14"/>
      <c r="AR113" s="14"/>
      <c r="AS113" s="14"/>
      <c r="AT113" s="14"/>
      <c r="AU113" s="14"/>
      <c r="AV113" s="652"/>
      <c r="AW113" s="629"/>
      <c r="AX113" s="629"/>
      <c r="AY113" s="629"/>
      <c r="AZ113" s="629"/>
      <c r="BA113" s="629"/>
      <c r="BB113" s="629"/>
      <c r="BC113" s="629"/>
      <c r="BD113" s="629"/>
      <c r="BE113" s="629"/>
      <c r="BF113" s="629"/>
      <c r="BG113" s="629"/>
      <c r="BH113" s="629"/>
      <c r="BI113" s="629"/>
      <c r="BJ113" s="629"/>
      <c r="BK113" s="629"/>
      <c r="BL113" s="629"/>
      <c r="BM113" s="629"/>
      <c r="BN113" s="629"/>
      <c r="BO113" s="629"/>
      <c r="BP113" s="629"/>
      <c r="BQ113" s="629"/>
      <c r="BR113" s="629"/>
      <c r="BS113" s="629"/>
      <c r="BT113" s="14"/>
      <c r="BU113" s="14"/>
      <c r="BV113" s="14"/>
      <c r="BW113" s="14"/>
    </row>
    <row r="114" spans="4:75">
      <c r="D114" s="572"/>
      <c r="E114" s="14"/>
      <c r="F114" s="14"/>
      <c r="G114" s="14"/>
      <c r="H114" s="14"/>
      <c r="I114" s="14"/>
      <c r="J114" s="14"/>
      <c r="K114" s="861"/>
      <c r="L114" s="862"/>
      <c r="M114" s="659" t="s">
        <v>465</v>
      </c>
      <c r="N114" s="660">
        <f>N113/$N$94</f>
        <v>0.30651751874245065</v>
      </c>
      <c r="O114" s="661">
        <f t="shared" ref="O114:AK114" si="69">O113/$N$94</f>
        <v>0.175128681027196</v>
      </c>
      <c r="P114" s="661">
        <f t="shared" si="69"/>
        <v>0.28840397779713606</v>
      </c>
      <c r="Q114" s="662">
        <f t="shared" si="69"/>
        <v>0.33320834890558698</v>
      </c>
      <c r="R114" s="660">
        <f t="shared" si="69"/>
        <v>0.22988813905683797</v>
      </c>
      <c r="S114" s="661">
        <f t="shared" si="69"/>
        <v>0.131346510770397</v>
      </c>
      <c r="T114" s="661">
        <f t="shared" si="69"/>
        <v>0.21630298334785206</v>
      </c>
      <c r="U114" s="662">
        <f t="shared" si="69"/>
        <v>0.24990626167919022</v>
      </c>
      <c r="V114" s="660">
        <f t="shared" si="69"/>
        <v>0.15325875937122532</v>
      </c>
      <c r="W114" s="661">
        <f t="shared" si="69"/>
        <v>8.7564340513598002E-2</v>
      </c>
      <c r="X114" s="661">
        <f t="shared" si="69"/>
        <v>0.14420198889856803</v>
      </c>
      <c r="Y114" s="662">
        <f t="shared" si="69"/>
        <v>0.16660417445279349</v>
      </c>
      <c r="Z114" s="660">
        <f t="shared" si="69"/>
        <v>0.16381934937554432</v>
      </c>
      <c r="AA114" s="661">
        <f t="shared" si="69"/>
        <v>0.10382703839501033</v>
      </c>
      <c r="AB114" s="661">
        <f t="shared" si="69"/>
        <v>0.15588079440492425</v>
      </c>
      <c r="AC114" s="662">
        <f t="shared" si="69"/>
        <v>0.17756351564550826</v>
      </c>
      <c r="AD114" s="660">
        <f t="shared" si="69"/>
        <v>0.12286451203165824</v>
      </c>
      <c r="AE114" s="661">
        <f t="shared" si="69"/>
        <v>7.7870278796257741E-2</v>
      </c>
      <c r="AF114" s="661">
        <f t="shared" si="69"/>
        <v>0.11691059580369317</v>
      </c>
      <c r="AG114" s="662">
        <f t="shared" si="69"/>
        <v>0.13317263673413121</v>
      </c>
      <c r="AH114" s="660">
        <f t="shared" si="69"/>
        <v>8.190967468777216E-2</v>
      </c>
      <c r="AI114" s="661">
        <f t="shared" si="69"/>
        <v>5.1913519197505163E-2</v>
      </c>
      <c r="AJ114" s="661">
        <f t="shared" si="69"/>
        <v>7.7940397202462125E-2</v>
      </c>
      <c r="AK114" s="662">
        <f t="shared" si="69"/>
        <v>8.8781757822754132E-2</v>
      </c>
      <c r="AL114" s="573"/>
      <c r="AN114" s="14"/>
      <c r="AO114" s="14"/>
      <c r="AP114" s="14"/>
      <c r="AQ114" s="14"/>
      <c r="AR114" s="14"/>
      <c r="AS114" s="14"/>
      <c r="AT114" s="14"/>
      <c r="AU114" s="14"/>
      <c r="AV114" s="702"/>
      <c r="AW114" s="629"/>
      <c r="AX114" s="629"/>
      <c r="AY114" s="629"/>
      <c r="AZ114" s="629"/>
      <c r="BA114" s="629"/>
      <c r="BB114" s="629"/>
      <c r="BC114" s="629"/>
      <c r="BD114" s="629"/>
      <c r="BE114" s="629"/>
      <c r="BF114" s="629"/>
      <c r="BG114" s="629"/>
      <c r="BH114" s="629"/>
      <c r="BI114" s="629"/>
      <c r="BJ114" s="629"/>
      <c r="BK114" s="629"/>
      <c r="BL114" s="629"/>
      <c r="BM114" s="629"/>
      <c r="BN114" s="629"/>
      <c r="BO114" s="629"/>
      <c r="BP114" s="629"/>
      <c r="BQ114" s="629"/>
      <c r="BR114" s="629"/>
      <c r="BS114" s="629"/>
      <c r="BT114" s="14"/>
      <c r="BU114" s="14"/>
      <c r="BV114" s="14"/>
      <c r="BW114" s="14"/>
    </row>
    <row r="115" spans="4:75">
      <c r="D115" s="572"/>
      <c r="E115" s="14"/>
      <c r="F115" s="14"/>
      <c r="G115" s="14"/>
      <c r="H115" s="14"/>
      <c r="I115" s="14"/>
      <c r="J115" s="14"/>
      <c r="K115" s="861"/>
      <c r="L115" s="862"/>
      <c r="M115" s="659"/>
      <c r="N115" s="663"/>
      <c r="O115" s="664"/>
      <c r="P115" s="664"/>
      <c r="Q115" s="665"/>
      <c r="R115" s="663"/>
      <c r="S115" s="664"/>
      <c r="T115" s="664"/>
      <c r="U115" s="665"/>
      <c r="V115" s="663"/>
      <c r="W115" s="664"/>
      <c r="X115" s="664"/>
      <c r="Y115" s="665"/>
      <c r="Z115" s="663"/>
      <c r="AA115" s="664"/>
      <c r="AB115" s="664"/>
      <c r="AC115" s="665"/>
      <c r="AD115" s="663"/>
      <c r="AE115" s="664"/>
      <c r="AF115" s="664"/>
      <c r="AG115" s="665"/>
      <c r="AH115" s="663"/>
      <c r="AI115" s="664"/>
      <c r="AJ115" s="664"/>
      <c r="AK115" s="665"/>
      <c r="AL115" s="573"/>
      <c r="AN115" s="14"/>
      <c r="AO115" s="14"/>
      <c r="AP115" s="14"/>
      <c r="AQ115" s="14"/>
      <c r="AR115" s="14"/>
      <c r="AS115" s="14"/>
      <c r="AT115" s="14"/>
      <c r="AU115" s="14"/>
      <c r="AV115" s="702"/>
      <c r="AW115" s="702"/>
      <c r="AX115" s="702"/>
      <c r="AY115" s="702"/>
      <c r="AZ115" s="702"/>
      <c r="BA115" s="702"/>
      <c r="BB115" s="702"/>
      <c r="BC115" s="702"/>
      <c r="BD115" s="702"/>
      <c r="BE115" s="702"/>
      <c r="BF115" s="702"/>
      <c r="BG115" s="702"/>
      <c r="BH115" s="702"/>
      <c r="BI115" s="702"/>
      <c r="BJ115" s="702"/>
      <c r="BK115" s="702"/>
      <c r="BL115" s="702"/>
      <c r="BM115" s="702"/>
      <c r="BN115" s="702"/>
      <c r="BO115" s="702"/>
      <c r="BP115" s="702"/>
      <c r="BQ115" s="702"/>
      <c r="BR115" s="702"/>
      <c r="BS115" s="702"/>
      <c r="BT115" s="14"/>
      <c r="BU115" s="14"/>
      <c r="BV115" s="14"/>
      <c r="BW115" s="14"/>
    </row>
    <row r="116" spans="4:75" ht="15" thickBot="1">
      <c r="D116" s="572"/>
      <c r="E116" s="14"/>
      <c r="F116" s="14"/>
      <c r="G116" s="14"/>
      <c r="H116" s="14"/>
      <c r="I116" s="14"/>
      <c r="J116" s="14"/>
      <c r="K116" s="863"/>
      <c r="L116" s="864"/>
      <c r="M116" s="677"/>
      <c r="N116" s="678"/>
      <c r="O116" s="679"/>
      <c r="P116" s="679"/>
      <c r="Q116" s="680"/>
      <c r="R116" s="678"/>
      <c r="S116" s="679"/>
      <c r="T116" s="679"/>
      <c r="U116" s="680"/>
      <c r="V116" s="678"/>
      <c r="W116" s="679"/>
      <c r="X116" s="679"/>
      <c r="Y116" s="680"/>
      <c r="Z116" s="678"/>
      <c r="AA116" s="679"/>
      <c r="AB116" s="679"/>
      <c r="AC116" s="680"/>
      <c r="AD116" s="678"/>
      <c r="AE116" s="679"/>
      <c r="AF116" s="679"/>
      <c r="AG116" s="680"/>
      <c r="AH116" s="678"/>
      <c r="AI116" s="679"/>
      <c r="AJ116" s="679"/>
      <c r="AK116" s="680"/>
      <c r="AL116" s="573"/>
      <c r="AN116" s="14"/>
      <c r="AO116" s="14"/>
      <c r="AP116" s="14"/>
      <c r="AQ116" s="14"/>
      <c r="AR116" s="14"/>
      <c r="AS116" s="14"/>
      <c r="AT116" s="14"/>
      <c r="AU116" s="14"/>
      <c r="AV116" s="652"/>
      <c r="AW116" s="652"/>
      <c r="AX116" s="652"/>
      <c r="AY116" s="652"/>
      <c r="AZ116" s="652"/>
      <c r="BA116" s="652"/>
      <c r="BB116" s="652"/>
      <c r="BC116" s="652"/>
      <c r="BD116" s="652"/>
      <c r="BE116" s="652"/>
      <c r="BF116" s="652"/>
      <c r="BG116" s="652"/>
      <c r="BH116" s="652"/>
      <c r="BI116" s="652"/>
      <c r="BJ116" s="652"/>
      <c r="BK116" s="652"/>
      <c r="BL116" s="652"/>
      <c r="BM116" s="652"/>
      <c r="BN116" s="652"/>
      <c r="BO116" s="652"/>
      <c r="BP116" s="652"/>
      <c r="BQ116" s="652"/>
      <c r="BR116" s="652"/>
      <c r="BS116" s="652"/>
      <c r="BT116" s="14"/>
      <c r="BU116" s="14"/>
      <c r="BV116" s="14"/>
      <c r="BW116" s="14"/>
    </row>
    <row r="117" spans="4:75" ht="15.75" customHeight="1" thickTop="1">
      <c r="D117" s="572"/>
      <c r="E117" s="14"/>
      <c r="F117" s="14"/>
      <c r="G117" s="14"/>
      <c r="H117" s="14"/>
      <c r="I117" s="14"/>
      <c r="J117" s="14"/>
      <c r="K117" s="859" t="s">
        <v>468</v>
      </c>
      <c r="L117" s="860"/>
      <c r="M117" s="673" t="s">
        <v>464</v>
      </c>
      <c r="N117" s="689">
        <f>SUMPRODUCT($M$100:$M$108,N100:N108)</f>
        <v>26.64848062714562</v>
      </c>
      <c r="O117" s="690">
        <f t="shared" ref="O117:AK117" si="70">SUMPRODUCT($M$100:$M$108,O100:O108)</f>
        <v>15.201854209746276</v>
      </c>
      <c r="P117" s="690">
        <f t="shared" si="70"/>
        <v>25.06752383425578</v>
      </c>
      <c r="Q117" s="691">
        <f t="shared" si="70"/>
        <v>28.970165973669499</v>
      </c>
      <c r="R117" s="689">
        <f t="shared" si="70"/>
        <v>19.986360470359216</v>
      </c>
      <c r="S117" s="690">
        <f t="shared" si="70"/>
        <v>11.401390657309706</v>
      </c>
      <c r="T117" s="690">
        <f t="shared" si="70"/>
        <v>18.800642875691839</v>
      </c>
      <c r="U117" s="691">
        <f t="shared" si="70"/>
        <v>21.727624480252125</v>
      </c>
      <c r="V117" s="689">
        <f t="shared" si="70"/>
        <v>13.32424031357281</v>
      </c>
      <c r="W117" s="690">
        <f t="shared" si="70"/>
        <v>7.6009271048731382</v>
      </c>
      <c r="X117" s="690">
        <f t="shared" si="70"/>
        <v>12.53376191712789</v>
      </c>
      <c r="Y117" s="691">
        <f t="shared" si="70"/>
        <v>14.485082986834749</v>
      </c>
      <c r="Z117" s="689">
        <f t="shared" si="70"/>
        <v>14.10618785042948</v>
      </c>
      <c r="AA117" s="690">
        <f t="shared" si="70"/>
        <v>8.9348776863525892</v>
      </c>
      <c r="AB117" s="690">
        <f t="shared" si="70"/>
        <v>13.4195498400425</v>
      </c>
      <c r="AC117" s="691">
        <f t="shared" si="70"/>
        <v>15.289940946313241</v>
      </c>
      <c r="AD117" s="689">
        <f t="shared" si="70"/>
        <v>10.579640887822109</v>
      </c>
      <c r="AE117" s="690">
        <f t="shared" si="70"/>
        <v>6.701158264764441</v>
      </c>
      <c r="AF117" s="690">
        <f t="shared" si="70"/>
        <v>10.064662380031876</v>
      </c>
      <c r="AG117" s="691">
        <f t="shared" si="70"/>
        <v>11.467455709734931</v>
      </c>
      <c r="AH117" s="689">
        <f t="shared" si="70"/>
        <v>7.05309392521474</v>
      </c>
      <c r="AI117" s="690">
        <f t="shared" si="70"/>
        <v>4.4674388431762946</v>
      </c>
      <c r="AJ117" s="690">
        <f t="shared" si="70"/>
        <v>6.7097749200212498</v>
      </c>
      <c r="AK117" s="691">
        <f t="shared" si="70"/>
        <v>7.6449704731566204</v>
      </c>
      <c r="AL117" s="573"/>
      <c r="AN117" s="14"/>
      <c r="AO117" s="14"/>
      <c r="AP117" s="14"/>
      <c r="AQ117" s="14"/>
      <c r="AR117" s="14"/>
      <c r="AS117" s="14"/>
      <c r="AT117" s="14"/>
      <c r="AU117" s="14"/>
      <c r="AV117" s="652"/>
      <c r="AW117" s="629"/>
      <c r="AX117" s="629"/>
      <c r="AY117" s="629"/>
      <c r="AZ117" s="629"/>
      <c r="BA117" s="629"/>
      <c r="BB117" s="629"/>
      <c r="BC117" s="629"/>
      <c r="BD117" s="629"/>
      <c r="BE117" s="629"/>
      <c r="BF117" s="629"/>
      <c r="BG117" s="629"/>
      <c r="BH117" s="629"/>
      <c r="BI117" s="629"/>
      <c r="BJ117" s="629"/>
      <c r="BK117" s="629"/>
      <c r="BL117" s="629"/>
      <c r="BM117" s="629"/>
      <c r="BN117" s="629"/>
      <c r="BO117" s="629"/>
      <c r="BP117" s="629"/>
      <c r="BQ117" s="629"/>
      <c r="BR117" s="629"/>
      <c r="BS117" s="629"/>
      <c r="BT117" s="14"/>
      <c r="BU117" s="14"/>
      <c r="BV117" s="14"/>
      <c r="BW117" s="14"/>
    </row>
    <row r="118" spans="4:75">
      <c r="D118" s="572"/>
      <c r="E118" s="14"/>
      <c r="F118" s="14"/>
      <c r="G118" s="14"/>
      <c r="H118" s="14"/>
      <c r="I118" s="14"/>
      <c r="J118" s="14"/>
      <c r="K118" s="861"/>
      <c r="L118" s="862"/>
      <c r="M118" s="659" t="s">
        <v>465</v>
      </c>
      <c r="N118" s="660">
        <f>N117/$N$94</f>
        <v>0.31834880137790228</v>
      </c>
      <c r="O118" s="661">
        <f t="shared" ref="O118:AK118" si="71">O117/$N$94</f>
        <v>0.18160480269425081</v>
      </c>
      <c r="P118" s="661">
        <f t="shared" si="71"/>
        <v>0.29946233249854531</v>
      </c>
      <c r="Q118" s="662">
        <f t="shared" si="71"/>
        <v>0.34608418177664901</v>
      </c>
      <c r="R118" s="660">
        <f t="shared" si="71"/>
        <v>0.23876160103342672</v>
      </c>
      <c r="S118" s="661">
        <f t="shared" si="71"/>
        <v>0.1362036020206881</v>
      </c>
      <c r="T118" s="661">
        <f t="shared" si="71"/>
        <v>0.22459674937390903</v>
      </c>
      <c r="U118" s="662">
        <f t="shared" si="71"/>
        <v>0.25956313633248679</v>
      </c>
      <c r="V118" s="660">
        <f t="shared" si="71"/>
        <v>0.15917440068895114</v>
      </c>
      <c r="W118" s="661">
        <f t="shared" si="71"/>
        <v>9.0802401347125403E-2</v>
      </c>
      <c r="X118" s="661">
        <f t="shared" si="71"/>
        <v>0.14973116624927266</v>
      </c>
      <c r="Y118" s="662">
        <f t="shared" si="71"/>
        <v>0.17304209088832451</v>
      </c>
      <c r="Z118" s="660">
        <f t="shared" si="71"/>
        <v>0.16851572354265065</v>
      </c>
      <c r="AA118" s="661">
        <f t="shared" si="71"/>
        <v>0.10673807793045582</v>
      </c>
      <c r="AB118" s="661">
        <f t="shared" si="71"/>
        <v>0.16031298993672286</v>
      </c>
      <c r="AC118" s="662">
        <f t="shared" si="71"/>
        <v>0.18265710685356631</v>
      </c>
      <c r="AD118" s="660">
        <f t="shared" si="71"/>
        <v>0.12638679265698796</v>
      </c>
      <c r="AE118" s="661">
        <f t="shared" si="71"/>
        <v>8.0053558447841858E-2</v>
      </c>
      <c r="AF118" s="661">
        <f t="shared" si="71"/>
        <v>0.12023474245254218</v>
      </c>
      <c r="AG118" s="662">
        <f t="shared" si="71"/>
        <v>0.13699283014017474</v>
      </c>
      <c r="AH118" s="660">
        <f t="shared" si="71"/>
        <v>8.4257861771325326E-2</v>
      </c>
      <c r="AI118" s="661">
        <f t="shared" si="71"/>
        <v>5.3369038965227912E-2</v>
      </c>
      <c r="AJ118" s="661">
        <f t="shared" si="71"/>
        <v>8.0156494968361428E-2</v>
      </c>
      <c r="AK118" s="662">
        <f t="shared" si="71"/>
        <v>9.1328553426783157E-2</v>
      </c>
      <c r="AL118" s="573"/>
      <c r="AN118" s="14"/>
      <c r="AO118" s="14"/>
      <c r="AP118" s="14"/>
      <c r="AQ118" s="14"/>
      <c r="AR118" s="14"/>
      <c r="AS118" s="14"/>
      <c r="AT118" s="14"/>
      <c r="AU118" s="14"/>
      <c r="AV118" s="652"/>
      <c r="AW118" s="629"/>
      <c r="AX118" s="629"/>
      <c r="AY118" s="629"/>
      <c r="AZ118" s="629"/>
      <c r="BA118" s="629"/>
      <c r="BB118" s="629"/>
      <c r="BC118" s="629"/>
      <c r="BD118" s="629"/>
      <c r="BE118" s="629"/>
      <c r="BF118" s="629"/>
      <c r="BG118" s="629"/>
      <c r="BH118" s="629"/>
      <c r="BI118" s="629"/>
      <c r="BJ118" s="629"/>
      <c r="BK118" s="629"/>
      <c r="BL118" s="629"/>
      <c r="BM118" s="629"/>
      <c r="BN118" s="629"/>
      <c r="BO118" s="629"/>
      <c r="BP118" s="629"/>
      <c r="BQ118" s="629"/>
      <c r="BR118" s="629"/>
      <c r="BS118" s="629"/>
      <c r="BT118" s="14"/>
      <c r="BU118" s="14"/>
      <c r="BV118" s="14"/>
      <c r="BW118" s="14"/>
    </row>
    <row r="119" spans="4:75">
      <c r="D119" s="572"/>
      <c r="E119" s="14"/>
      <c r="F119" s="14"/>
      <c r="G119" s="14"/>
      <c r="H119" s="14"/>
      <c r="I119" s="14"/>
      <c r="J119" s="14"/>
      <c r="K119" s="861"/>
      <c r="L119" s="862"/>
      <c r="M119" s="659"/>
      <c r="N119" s="663"/>
      <c r="O119" s="664"/>
      <c r="P119" s="664"/>
      <c r="Q119" s="665"/>
      <c r="R119" s="663"/>
      <c r="S119" s="664"/>
      <c r="T119" s="664"/>
      <c r="U119" s="665"/>
      <c r="V119" s="663"/>
      <c r="W119" s="664"/>
      <c r="X119" s="664"/>
      <c r="Y119" s="665"/>
      <c r="Z119" s="663"/>
      <c r="AA119" s="664"/>
      <c r="AB119" s="664"/>
      <c r="AC119" s="665"/>
      <c r="AD119" s="663"/>
      <c r="AE119" s="664"/>
      <c r="AF119" s="664"/>
      <c r="AG119" s="665"/>
      <c r="AH119" s="663"/>
      <c r="AI119" s="664"/>
      <c r="AJ119" s="664"/>
      <c r="AK119" s="665"/>
      <c r="AL119" s="573"/>
      <c r="AN119" s="14"/>
      <c r="AO119" s="14"/>
      <c r="AP119" s="14"/>
      <c r="AQ119" s="14"/>
      <c r="AR119" s="14"/>
      <c r="AS119" s="14"/>
      <c r="AT119" s="14"/>
      <c r="AU119" s="14"/>
      <c r="AV119" s="702"/>
      <c r="AW119" s="702"/>
      <c r="AX119" s="702"/>
      <c r="AY119" s="702"/>
      <c r="AZ119" s="702"/>
      <c r="BA119" s="702"/>
      <c r="BB119" s="702"/>
      <c r="BC119" s="702"/>
      <c r="BD119" s="702"/>
      <c r="BE119" s="702"/>
      <c r="BF119" s="702"/>
      <c r="BG119" s="702"/>
      <c r="BH119" s="702"/>
      <c r="BI119" s="702"/>
      <c r="BJ119" s="702"/>
      <c r="BK119" s="702"/>
      <c r="BL119" s="702"/>
      <c r="BM119" s="702"/>
      <c r="BN119" s="702"/>
      <c r="BO119" s="702"/>
      <c r="BP119" s="702"/>
      <c r="BQ119" s="702"/>
      <c r="BR119" s="702"/>
      <c r="BS119" s="702"/>
      <c r="BT119" s="14"/>
      <c r="BU119" s="14"/>
      <c r="BV119" s="14"/>
      <c r="BW119" s="14"/>
    </row>
    <row r="120" spans="4:75" ht="15" thickBot="1">
      <c r="D120" s="572"/>
      <c r="E120" s="14"/>
      <c r="F120" s="14"/>
      <c r="G120" s="14"/>
      <c r="H120" s="14"/>
      <c r="I120" s="14"/>
      <c r="J120" s="14"/>
      <c r="K120" s="863"/>
      <c r="L120" s="864"/>
      <c r="M120" s="677"/>
      <c r="N120" s="678"/>
      <c r="O120" s="679"/>
      <c r="P120" s="679"/>
      <c r="Q120" s="680"/>
      <c r="R120" s="678"/>
      <c r="S120" s="679"/>
      <c r="T120" s="679"/>
      <c r="U120" s="680"/>
      <c r="V120" s="678"/>
      <c r="W120" s="679"/>
      <c r="X120" s="679"/>
      <c r="Y120" s="680"/>
      <c r="Z120" s="678"/>
      <c r="AA120" s="679"/>
      <c r="AB120" s="679"/>
      <c r="AC120" s="680"/>
      <c r="AD120" s="678"/>
      <c r="AE120" s="679"/>
      <c r="AF120" s="679"/>
      <c r="AG120" s="680"/>
      <c r="AH120" s="678"/>
      <c r="AI120" s="679"/>
      <c r="AJ120" s="679"/>
      <c r="AK120" s="680"/>
      <c r="AL120" s="573"/>
      <c r="AN120" s="14"/>
      <c r="AO120" s="14"/>
      <c r="AP120" s="14"/>
      <c r="AQ120" s="14"/>
      <c r="AR120" s="14"/>
      <c r="AS120" s="14"/>
      <c r="AT120" s="14"/>
      <c r="AU120" s="14"/>
      <c r="AV120" s="652"/>
      <c r="AW120" s="652"/>
      <c r="AX120" s="652"/>
      <c r="AY120" s="652"/>
      <c r="AZ120" s="652"/>
      <c r="BA120" s="652"/>
      <c r="BB120" s="652"/>
      <c r="BC120" s="652"/>
      <c r="BD120" s="652"/>
      <c r="BE120" s="652"/>
      <c r="BF120" s="652"/>
      <c r="BG120" s="652"/>
      <c r="BH120" s="652"/>
      <c r="BI120" s="652"/>
      <c r="BJ120" s="652"/>
      <c r="BK120" s="652"/>
      <c r="BL120" s="652"/>
      <c r="BM120" s="652"/>
      <c r="BN120" s="652"/>
      <c r="BO120" s="652"/>
      <c r="BP120" s="652"/>
      <c r="BQ120" s="652"/>
      <c r="BR120" s="652"/>
      <c r="BS120" s="652"/>
      <c r="BT120" s="14"/>
      <c r="BU120" s="14"/>
      <c r="BV120" s="14"/>
      <c r="BW120" s="14"/>
    </row>
    <row r="121" spans="4:75" ht="15" thickTop="1">
      <c r="D121" s="572"/>
      <c r="E121" s="14"/>
      <c r="F121" s="14"/>
      <c r="G121" s="14"/>
      <c r="H121" s="14"/>
      <c r="I121" s="14"/>
      <c r="J121" s="14"/>
      <c r="K121" s="576"/>
      <c r="L121" s="576"/>
      <c r="M121" s="576"/>
      <c r="N121" s="628"/>
      <c r="O121" s="628"/>
      <c r="P121" s="628"/>
      <c r="Q121" s="628"/>
      <c r="R121" s="628"/>
      <c r="S121" s="628"/>
      <c r="T121" s="628"/>
      <c r="U121" s="628"/>
      <c r="V121" s="628"/>
      <c r="W121" s="628"/>
      <c r="X121" s="628"/>
      <c r="Y121" s="628"/>
      <c r="Z121" s="628"/>
      <c r="AA121" s="628"/>
      <c r="AB121" s="628"/>
      <c r="AC121" s="628"/>
      <c r="AD121" s="628"/>
      <c r="AE121" s="628"/>
      <c r="AF121" s="628"/>
      <c r="AG121" s="628"/>
      <c r="AH121" s="628"/>
      <c r="AI121" s="628"/>
      <c r="AJ121" s="628"/>
      <c r="AK121" s="628"/>
      <c r="AL121" s="573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</row>
    <row r="122" spans="4:75">
      <c r="D122" s="572"/>
      <c r="E122" s="14"/>
      <c r="F122" s="14"/>
      <c r="G122" s="14"/>
      <c r="H122" s="14"/>
      <c r="I122" s="14"/>
      <c r="J122" s="14"/>
      <c r="K122" s="14"/>
      <c r="L122" s="14"/>
      <c r="M122" s="14"/>
      <c r="N122" s="682">
        <f>I1</f>
        <v>9</v>
      </c>
      <c r="O122" s="682">
        <f>N122</f>
        <v>9</v>
      </c>
      <c r="P122" s="682">
        <f t="shared" ref="P122:Q122" si="72">O122</f>
        <v>9</v>
      </c>
      <c r="Q122" s="682">
        <f t="shared" si="72"/>
        <v>9</v>
      </c>
      <c r="R122" s="682">
        <f>N122+3</f>
        <v>12</v>
      </c>
      <c r="S122" s="682">
        <f t="shared" ref="S122:Y122" si="73">O122+3</f>
        <v>12</v>
      </c>
      <c r="T122" s="682">
        <f t="shared" si="73"/>
        <v>12</v>
      </c>
      <c r="U122" s="682">
        <f t="shared" si="73"/>
        <v>12</v>
      </c>
      <c r="V122" s="682">
        <f t="shared" si="73"/>
        <v>15</v>
      </c>
      <c r="W122" s="682">
        <f t="shared" si="73"/>
        <v>15</v>
      </c>
      <c r="X122" s="682">
        <f t="shared" si="73"/>
        <v>15</v>
      </c>
      <c r="Y122" s="682">
        <f t="shared" si="73"/>
        <v>15</v>
      </c>
      <c r="Z122" s="682">
        <f>N122</f>
        <v>9</v>
      </c>
      <c r="AA122" s="682">
        <f t="shared" ref="AA122:AK122" si="74">O122</f>
        <v>9</v>
      </c>
      <c r="AB122" s="682">
        <f t="shared" si="74"/>
        <v>9</v>
      </c>
      <c r="AC122" s="682">
        <f t="shared" si="74"/>
        <v>9</v>
      </c>
      <c r="AD122" s="682">
        <f t="shared" si="74"/>
        <v>12</v>
      </c>
      <c r="AE122" s="682">
        <f t="shared" si="74"/>
        <v>12</v>
      </c>
      <c r="AF122" s="682">
        <f t="shared" si="74"/>
        <v>12</v>
      </c>
      <c r="AG122" s="682">
        <f t="shared" si="74"/>
        <v>12</v>
      </c>
      <c r="AH122" s="682">
        <f t="shared" si="74"/>
        <v>15</v>
      </c>
      <c r="AI122" s="682">
        <f t="shared" si="74"/>
        <v>15</v>
      </c>
      <c r="AJ122" s="682">
        <f t="shared" si="74"/>
        <v>15</v>
      </c>
      <c r="AK122" s="682">
        <f t="shared" si="74"/>
        <v>15</v>
      </c>
      <c r="AL122" s="573"/>
    </row>
    <row r="123" spans="4:75" ht="15" thickBot="1">
      <c r="D123" s="577"/>
      <c r="E123" s="578"/>
      <c r="F123" s="578"/>
      <c r="G123" s="578"/>
      <c r="H123" s="578"/>
      <c r="I123" s="578"/>
      <c r="J123" s="578"/>
      <c r="K123" s="578"/>
      <c r="L123" s="578"/>
      <c r="M123" s="578"/>
      <c r="N123" s="578"/>
      <c r="O123" s="578"/>
      <c r="P123" s="578"/>
      <c r="Q123" s="578"/>
      <c r="R123" s="578"/>
      <c r="S123" s="578"/>
      <c r="T123" s="578"/>
      <c r="U123" s="578"/>
      <c r="V123" s="578"/>
      <c r="W123" s="578"/>
      <c r="X123" s="578"/>
      <c r="Y123" s="578"/>
      <c r="Z123" s="578"/>
      <c r="AA123" s="578"/>
      <c r="AB123" s="578"/>
      <c r="AC123" s="578"/>
      <c r="AD123" s="578"/>
      <c r="AE123" s="578"/>
      <c r="AF123" s="578"/>
      <c r="AG123" s="578"/>
      <c r="AH123" s="578"/>
      <c r="AI123" s="578"/>
      <c r="AJ123" s="578"/>
      <c r="AK123" s="578"/>
      <c r="AL123" s="579"/>
    </row>
  </sheetData>
  <mergeCells count="80">
    <mergeCell ref="AO24:BG24"/>
    <mergeCell ref="N29:Q29"/>
    <mergeCell ref="R29:U29"/>
    <mergeCell ref="V29:Y29"/>
    <mergeCell ref="Z29:AC29"/>
    <mergeCell ref="AD29:AG29"/>
    <mergeCell ref="AH29:AK29"/>
    <mergeCell ref="AV29:AY29"/>
    <mergeCell ref="AZ29:BC29"/>
    <mergeCell ref="BD29:BG29"/>
    <mergeCell ref="E24:Y24"/>
    <mergeCell ref="BH29:BK29"/>
    <mergeCell ref="BL29:BO29"/>
    <mergeCell ref="BP29:BS29"/>
    <mergeCell ref="E30:J31"/>
    <mergeCell ref="K30:K31"/>
    <mergeCell ref="L30:M30"/>
    <mergeCell ref="N30:Q30"/>
    <mergeCell ref="R30:U30"/>
    <mergeCell ref="V30:Y30"/>
    <mergeCell ref="Z30:AC30"/>
    <mergeCell ref="BD30:BG30"/>
    <mergeCell ref="BH30:BK30"/>
    <mergeCell ref="BL30:BO30"/>
    <mergeCell ref="BP30:BS30"/>
    <mergeCell ref="AU30:AU31"/>
    <mergeCell ref="AV30:AY30"/>
    <mergeCell ref="AZ30:BC30"/>
    <mergeCell ref="K41:L44"/>
    <mergeCell ref="K45:L48"/>
    <mergeCell ref="K49:L52"/>
    <mergeCell ref="E58:Y58"/>
    <mergeCell ref="E36:E39"/>
    <mergeCell ref="AO36:AO39"/>
    <mergeCell ref="F38:G39"/>
    <mergeCell ref="AP38:AQ39"/>
    <mergeCell ref="AD30:AG30"/>
    <mergeCell ref="AH30:AK30"/>
    <mergeCell ref="AO30:AT31"/>
    <mergeCell ref="AD63:AG63"/>
    <mergeCell ref="AH63:AK63"/>
    <mergeCell ref="E64:J65"/>
    <mergeCell ref="K64:K65"/>
    <mergeCell ref="L64:M64"/>
    <mergeCell ref="N64:Q64"/>
    <mergeCell ref="R64:U64"/>
    <mergeCell ref="V64:Y64"/>
    <mergeCell ref="Z64:AC64"/>
    <mergeCell ref="AD64:AG64"/>
    <mergeCell ref="AH64:AK64"/>
    <mergeCell ref="N63:Q63"/>
    <mergeCell ref="R63:U63"/>
    <mergeCell ref="V63:Y63"/>
    <mergeCell ref="Z63:AC63"/>
    <mergeCell ref="K117:L120"/>
    <mergeCell ref="AD97:AG97"/>
    <mergeCell ref="E70:E73"/>
    <mergeCell ref="F72:G73"/>
    <mergeCell ref="K75:L78"/>
    <mergeCell ref="K83:L86"/>
    <mergeCell ref="E92:Y92"/>
    <mergeCell ref="K79:L82"/>
    <mergeCell ref="E104:E107"/>
    <mergeCell ref="F106:G107"/>
    <mergeCell ref="K109:L112"/>
    <mergeCell ref="K113:L116"/>
    <mergeCell ref="AH97:AK97"/>
    <mergeCell ref="E98:J99"/>
    <mergeCell ref="K98:K99"/>
    <mergeCell ref="L98:M98"/>
    <mergeCell ref="N98:Q98"/>
    <mergeCell ref="R98:U98"/>
    <mergeCell ref="V98:Y98"/>
    <mergeCell ref="Z98:AC98"/>
    <mergeCell ref="AD98:AG98"/>
    <mergeCell ref="Z97:AC97"/>
    <mergeCell ref="AH98:AK98"/>
    <mergeCell ref="N97:Q97"/>
    <mergeCell ref="R97:U97"/>
    <mergeCell ref="V97:Y9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81"/>
  <sheetViews>
    <sheetView workbookViewId="0">
      <selection activeCell="I9" sqref="I9"/>
    </sheetView>
  </sheetViews>
  <sheetFormatPr defaultColWidth="9.109375" defaultRowHeight="14.4"/>
  <cols>
    <col min="1" max="1" width="23.6640625" style="46" customWidth="1"/>
    <col min="2" max="2" width="30.5546875" style="46" customWidth="1"/>
    <col min="3" max="3" width="32.33203125" style="46" bestFit="1" customWidth="1"/>
    <col min="4" max="4" width="25" style="46" bestFit="1" customWidth="1"/>
    <col min="5" max="5" width="18.33203125" style="46" customWidth="1"/>
    <col min="6" max="6" width="16.88671875" style="46" customWidth="1"/>
    <col min="7" max="7" width="16" style="46" bestFit="1" customWidth="1"/>
    <col min="8" max="8" width="20.109375" style="46" bestFit="1" customWidth="1"/>
    <col min="9" max="9" width="16.33203125" style="46" bestFit="1" customWidth="1"/>
    <col min="10" max="10" width="12.88671875" style="46" bestFit="1" customWidth="1"/>
    <col min="11" max="11" width="12.88671875" style="46" customWidth="1"/>
    <col min="12" max="12" width="11.33203125" style="46" bestFit="1" customWidth="1"/>
    <col min="13" max="13" width="16" style="46" bestFit="1" customWidth="1"/>
    <col min="14" max="14" width="14.5546875" style="46" bestFit="1" customWidth="1"/>
    <col min="15" max="15" width="11.33203125" style="46" bestFit="1" customWidth="1"/>
    <col min="16" max="16" width="13.109375" style="46" bestFit="1" customWidth="1"/>
    <col min="17" max="17" width="22.44140625" style="46" bestFit="1" customWidth="1"/>
    <col min="18" max="18" width="16.33203125" style="46" bestFit="1" customWidth="1"/>
    <col min="19" max="19" width="12.88671875" style="46" bestFit="1" customWidth="1"/>
    <col min="20" max="20" width="11" style="46" bestFit="1" customWidth="1"/>
    <col min="21" max="21" width="16" style="46" bestFit="1" customWidth="1"/>
    <col min="22" max="22" width="14.5546875" style="46" bestFit="1" customWidth="1"/>
    <col min="23" max="23" width="14" style="46" customWidth="1"/>
    <col min="24" max="24" width="13.109375" style="46" bestFit="1" customWidth="1"/>
    <col min="25" max="25" width="9.109375" style="70" customWidth="1"/>
    <col min="26" max="26" width="9.88671875" style="46" customWidth="1"/>
    <col min="27" max="27" width="25" style="70" bestFit="1" customWidth="1"/>
    <col min="28" max="28" width="9.88671875" style="46" customWidth="1"/>
    <col min="29" max="16384" width="9.109375" style="105"/>
  </cols>
  <sheetData>
    <row r="1" spans="1:28">
      <c r="A1" s="99" t="s">
        <v>79</v>
      </c>
      <c r="B1" s="100" t="s">
        <v>121</v>
      </c>
      <c r="C1" s="101" t="s">
        <v>80</v>
      </c>
      <c r="D1" s="102" t="s">
        <v>238</v>
      </c>
      <c r="E1" s="103"/>
      <c r="F1" s="104"/>
      <c r="G1" s="105"/>
      <c r="H1" s="105"/>
      <c r="I1" s="105"/>
      <c r="J1" s="105"/>
      <c r="K1" s="237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28">
      <c r="A2" s="99" t="s">
        <v>81</v>
      </c>
      <c r="B2" s="106">
        <v>2</v>
      </c>
      <c r="C2" s="99" t="s">
        <v>82</v>
      </c>
      <c r="D2" s="106" t="s">
        <v>108</v>
      </c>
      <c r="E2" s="726"/>
      <c r="F2" s="726"/>
      <c r="G2" s="726"/>
      <c r="H2" s="105"/>
      <c r="I2" s="105"/>
      <c r="J2" s="105"/>
      <c r="K2" s="237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</row>
    <row r="3" spans="1:28">
      <c r="A3" s="99" t="s">
        <v>83</v>
      </c>
      <c r="B3" s="107" t="s">
        <v>121</v>
      </c>
      <c r="C3" s="99" t="s">
        <v>84</v>
      </c>
      <c r="D3" s="108" t="s">
        <v>118</v>
      </c>
      <c r="E3" s="109"/>
      <c r="F3" s="104"/>
      <c r="G3" s="105"/>
      <c r="H3" s="105"/>
      <c r="I3" s="105"/>
      <c r="J3" s="105"/>
      <c r="K3" s="237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</row>
    <row r="4" spans="1:28">
      <c r="A4" s="99" t="s">
        <v>85</v>
      </c>
      <c r="B4" s="108">
        <v>42159</v>
      </c>
      <c r="C4" s="105"/>
      <c r="D4" s="110"/>
      <c r="E4" s="111"/>
      <c r="F4" s="111"/>
      <c r="G4" s="111"/>
      <c r="H4" s="105"/>
      <c r="I4" s="105"/>
      <c r="J4" s="105"/>
      <c r="K4" s="237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</row>
    <row r="5" spans="1:28">
      <c r="A5" s="112"/>
      <c r="B5" s="112"/>
      <c r="C5" s="105"/>
      <c r="D5" s="105"/>
      <c r="E5" s="105"/>
      <c r="F5" s="105"/>
      <c r="G5" s="105"/>
      <c r="H5" s="105"/>
      <c r="I5" s="105"/>
      <c r="J5" s="105"/>
      <c r="K5" s="237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</row>
    <row r="6" spans="1:28" ht="7.5" customHeight="1">
      <c r="A6" s="112"/>
      <c r="B6" s="112"/>
      <c r="C6" s="105"/>
      <c r="D6" s="105"/>
      <c r="E6" s="105"/>
      <c r="F6" s="105"/>
      <c r="G6" s="105"/>
      <c r="H6" s="105"/>
      <c r="I6" s="105"/>
      <c r="J6" s="105"/>
      <c r="K6" s="237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</row>
    <row r="7" spans="1:28" ht="45.75" customHeight="1">
      <c r="A7" s="105"/>
      <c r="B7" s="113"/>
      <c r="C7" s="113"/>
      <c r="D7" s="113"/>
      <c r="E7" s="113"/>
      <c r="F7" s="105"/>
      <c r="G7" s="105"/>
      <c r="H7" s="727" t="s">
        <v>86</v>
      </c>
      <c r="I7" s="727"/>
      <c r="J7" s="727"/>
      <c r="K7" s="727"/>
      <c r="L7" s="727"/>
      <c r="M7" s="727"/>
      <c r="N7" s="727"/>
      <c r="O7" s="727"/>
      <c r="P7" s="727"/>
      <c r="Q7" s="728" t="s">
        <v>87</v>
      </c>
      <c r="R7" s="729"/>
      <c r="S7" s="729"/>
      <c r="T7" s="729"/>
      <c r="U7" s="729"/>
      <c r="V7" s="729"/>
      <c r="W7" s="729"/>
      <c r="X7" s="730"/>
      <c r="Y7" s="113"/>
      <c r="Z7" s="105"/>
      <c r="AA7" s="105"/>
      <c r="AB7" s="105"/>
    </row>
    <row r="8" spans="1:28" s="114" customFormat="1" ht="57.6">
      <c r="A8" s="129" t="s">
        <v>88</v>
      </c>
      <c r="B8" s="129" t="s">
        <v>89</v>
      </c>
      <c r="C8" s="129" t="s">
        <v>90</v>
      </c>
      <c r="D8" s="129" t="s">
        <v>91</v>
      </c>
      <c r="E8" s="129" t="s">
        <v>92</v>
      </c>
      <c r="F8" s="129" t="s">
        <v>93</v>
      </c>
      <c r="G8" s="129" t="s">
        <v>94</v>
      </c>
      <c r="H8" s="130" t="s">
        <v>95</v>
      </c>
      <c r="I8" s="130" t="s">
        <v>96</v>
      </c>
      <c r="J8" s="130" t="s">
        <v>97</v>
      </c>
      <c r="K8" s="130" t="s">
        <v>240</v>
      </c>
      <c r="L8" s="131" t="s">
        <v>98</v>
      </c>
      <c r="M8" s="132" t="s">
        <v>99</v>
      </c>
      <c r="N8" s="132" t="s">
        <v>100</v>
      </c>
      <c r="O8" s="132" t="s">
        <v>101</v>
      </c>
      <c r="P8" s="132" t="s">
        <v>102</v>
      </c>
      <c r="Q8" s="130" t="s">
        <v>95</v>
      </c>
      <c r="R8" s="130" t="s">
        <v>96</v>
      </c>
      <c r="S8" s="130" t="s">
        <v>97</v>
      </c>
      <c r="T8" s="131" t="s">
        <v>103</v>
      </c>
      <c r="U8" s="133" t="s">
        <v>99</v>
      </c>
      <c r="V8" s="133" t="s">
        <v>100</v>
      </c>
      <c r="W8" s="133" t="s">
        <v>101</v>
      </c>
      <c r="X8" s="133" t="s">
        <v>102</v>
      </c>
      <c r="Y8" s="133" t="s">
        <v>104</v>
      </c>
      <c r="Z8" s="134" t="s">
        <v>105</v>
      </c>
      <c r="AA8" s="129" t="s">
        <v>106</v>
      </c>
      <c r="AB8" s="129" t="s">
        <v>107</v>
      </c>
    </row>
    <row r="9" spans="1:28" s="103" customFormat="1" ht="12.75" customHeight="1">
      <c r="A9" s="228" t="s">
        <v>121</v>
      </c>
      <c r="B9" s="135" t="s">
        <v>122</v>
      </c>
      <c r="C9" s="229" t="s">
        <v>118</v>
      </c>
      <c r="D9" s="139" t="s">
        <v>232</v>
      </c>
      <c r="E9" s="138" t="s">
        <v>124</v>
      </c>
      <c r="F9" s="139" t="s">
        <v>14</v>
      </c>
      <c r="G9" s="137" t="s">
        <v>123</v>
      </c>
      <c r="H9" s="230">
        <f>'PG&amp;E Savings'!G11</f>
        <v>0.30099224828647397</v>
      </c>
      <c r="I9" s="150">
        <f>'PG&amp;E Savings'!H11</f>
        <v>596.15979140244656</v>
      </c>
      <c r="J9" s="151">
        <f>'PG&amp;E Savings'!I11</f>
        <v>4.3113148696994541</v>
      </c>
      <c r="K9" s="143">
        <f>'PG&amp;E Savings'!J11</f>
        <v>7013</v>
      </c>
      <c r="L9" s="137">
        <v>3.67</v>
      </c>
      <c r="M9" s="141">
        <v>0</v>
      </c>
      <c r="N9" s="142">
        <v>0</v>
      </c>
      <c r="O9" s="141">
        <v>0</v>
      </c>
      <c r="P9" s="142">
        <v>0</v>
      </c>
      <c r="Q9" s="233"/>
      <c r="R9" s="233"/>
      <c r="S9" s="233"/>
      <c r="T9" s="234"/>
      <c r="U9" s="233"/>
      <c r="V9" s="233"/>
      <c r="W9" s="233"/>
      <c r="X9" s="233"/>
      <c r="Y9" s="235">
        <v>0.7</v>
      </c>
      <c r="Z9" s="236">
        <v>1</v>
      </c>
      <c r="AA9" s="146" t="s">
        <v>238</v>
      </c>
      <c r="AB9" s="146" t="s">
        <v>121</v>
      </c>
    </row>
    <row r="10" spans="1:28" s="103" customFormat="1" ht="12.75" customHeight="1">
      <c r="A10" s="139" t="s">
        <v>121</v>
      </c>
      <c r="B10" s="135" t="s">
        <v>122</v>
      </c>
      <c r="C10" s="229" t="s">
        <v>118</v>
      </c>
      <c r="D10" s="139" t="s">
        <v>233</v>
      </c>
      <c r="E10" s="138" t="s">
        <v>124</v>
      </c>
      <c r="F10" s="139" t="s">
        <v>14</v>
      </c>
      <c r="G10" s="137" t="s">
        <v>123</v>
      </c>
      <c r="H10" s="230">
        <f>'PG&amp;E Savings'!G21</f>
        <v>1.1550409733094398</v>
      </c>
      <c r="I10" s="150">
        <f>'PG&amp;E Savings'!H21</f>
        <v>1988.1148593427515</v>
      </c>
      <c r="J10" s="151">
        <f>'PG&amp;E Savings'!I21</f>
        <v>49.044119454825641</v>
      </c>
      <c r="K10" s="143">
        <f>'PG&amp;E Savings'!J21</f>
        <v>26031.305084745763</v>
      </c>
      <c r="L10" s="137">
        <v>3.67</v>
      </c>
      <c r="M10" s="141">
        <v>0</v>
      </c>
      <c r="N10" s="142">
        <v>0</v>
      </c>
      <c r="O10" s="141">
        <v>0</v>
      </c>
      <c r="P10" s="142">
        <v>0</v>
      </c>
      <c r="Q10" s="233"/>
      <c r="R10" s="233"/>
      <c r="S10" s="233"/>
      <c r="T10" s="234"/>
      <c r="U10" s="233"/>
      <c r="V10" s="233"/>
      <c r="W10" s="233"/>
      <c r="X10" s="233"/>
      <c r="Y10" s="235">
        <v>0.7</v>
      </c>
      <c r="Z10" s="236">
        <v>1</v>
      </c>
      <c r="AA10" s="146" t="s">
        <v>238</v>
      </c>
      <c r="AB10" s="146" t="s">
        <v>121</v>
      </c>
    </row>
    <row r="11" spans="1:28" s="103" customFormat="1" ht="12.75" customHeight="1">
      <c r="A11" s="139" t="s">
        <v>121</v>
      </c>
      <c r="B11" s="135" t="s">
        <v>122</v>
      </c>
      <c r="C11" s="229" t="s">
        <v>118</v>
      </c>
      <c r="D11" s="139" t="s">
        <v>232</v>
      </c>
      <c r="E11" s="138" t="s">
        <v>124</v>
      </c>
      <c r="F11" s="139" t="s">
        <v>16</v>
      </c>
      <c r="G11" s="137" t="s">
        <v>123</v>
      </c>
      <c r="H11" s="230">
        <f>'SCE Savings'!G11</f>
        <v>0.16206730264728642</v>
      </c>
      <c r="I11" s="231">
        <f>'SCE Savings'!H11</f>
        <v>312.46448151838678</v>
      </c>
      <c r="J11" s="232">
        <f>'SCE Savings'!I11</f>
        <v>18.606430507555032</v>
      </c>
      <c r="K11" s="143">
        <f>'SCE Savings'!J11</f>
        <v>7013</v>
      </c>
      <c r="L11" s="137">
        <v>3.67</v>
      </c>
      <c r="M11" s="141">
        <v>0</v>
      </c>
      <c r="N11" s="142">
        <v>0</v>
      </c>
      <c r="O11" s="141">
        <v>0</v>
      </c>
      <c r="P11" s="142">
        <v>0</v>
      </c>
      <c r="Q11" s="233"/>
      <c r="R11" s="233"/>
      <c r="S11" s="233"/>
      <c r="T11" s="234"/>
      <c r="U11" s="233"/>
      <c r="V11" s="233"/>
      <c r="W11" s="233"/>
      <c r="X11" s="233"/>
      <c r="Y11" s="235">
        <v>0.7</v>
      </c>
      <c r="Z11" s="236">
        <v>1</v>
      </c>
      <c r="AA11" s="146" t="s">
        <v>238</v>
      </c>
      <c r="AB11" s="146" t="s">
        <v>121</v>
      </c>
    </row>
    <row r="12" spans="1:28" s="103" customFormat="1" ht="12.75" customHeight="1">
      <c r="A12" s="139" t="s">
        <v>121</v>
      </c>
      <c r="B12" s="135" t="s">
        <v>122</v>
      </c>
      <c r="C12" s="229" t="s">
        <v>118</v>
      </c>
      <c r="D12" s="139" t="s">
        <v>233</v>
      </c>
      <c r="E12" s="138" t="s">
        <v>124</v>
      </c>
      <c r="F12" s="139" t="s">
        <v>16</v>
      </c>
      <c r="G12" s="137" t="s">
        <v>123</v>
      </c>
      <c r="H12" s="230">
        <f>'SCE Savings'!G21</f>
        <v>0.63791670123958144</v>
      </c>
      <c r="I12" s="231">
        <f>'SCE Savings'!H21</f>
        <v>1073.5930752526692</v>
      </c>
      <c r="J12" s="232">
        <f>'SCE Savings'!I21</f>
        <v>83.708437135002782</v>
      </c>
      <c r="K12" s="143">
        <f>'SCE Savings'!J21</f>
        <v>26031.305084745763</v>
      </c>
      <c r="L12" s="137">
        <v>3.67</v>
      </c>
      <c r="M12" s="141">
        <v>0</v>
      </c>
      <c r="N12" s="142">
        <v>0</v>
      </c>
      <c r="O12" s="141">
        <v>0</v>
      </c>
      <c r="P12" s="142">
        <v>0</v>
      </c>
      <c r="Q12" s="233"/>
      <c r="R12" s="233"/>
      <c r="S12" s="233"/>
      <c r="T12" s="234"/>
      <c r="U12" s="233"/>
      <c r="V12" s="233"/>
      <c r="W12" s="233"/>
      <c r="X12" s="233"/>
      <c r="Y12" s="235">
        <v>0.7</v>
      </c>
      <c r="Z12" s="236">
        <v>1</v>
      </c>
      <c r="AA12" s="146" t="s">
        <v>238</v>
      </c>
      <c r="AB12" s="146" t="s">
        <v>121</v>
      </c>
    </row>
    <row r="13" spans="1:28" s="103" customFormat="1" ht="12.75" customHeight="1">
      <c r="A13" s="139" t="s">
        <v>121</v>
      </c>
      <c r="B13" s="135" t="s">
        <v>122</v>
      </c>
      <c r="C13" s="229" t="s">
        <v>118</v>
      </c>
      <c r="D13" s="139" t="s">
        <v>232</v>
      </c>
      <c r="E13" s="138" t="s">
        <v>124</v>
      </c>
      <c r="F13" s="139" t="s">
        <v>301</v>
      </c>
      <c r="G13" s="137" t="s">
        <v>123</v>
      </c>
      <c r="H13" s="230">
        <f>'SCG Savings'!G11</f>
        <v>0.13089259970588954</v>
      </c>
      <c r="I13" s="231">
        <f>'SCG Savings'!H11</f>
        <v>246.51619054292934</v>
      </c>
      <c r="J13" s="232">
        <f>'SCG Savings'!I11</f>
        <v>21.422526754471914</v>
      </c>
      <c r="K13" s="143">
        <f>'SCG Savings'!J11</f>
        <v>7013</v>
      </c>
      <c r="L13" s="137">
        <v>3.67</v>
      </c>
      <c r="M13" s="141">
        <v>0</v>
      </c>
      <c r="N13" s="142">
        <v>0</v>
      </c>
      <c r="O13" s="141">
        <v>0</v>
      </c>
      <c r="P13" s="142">
        <v>0</v>
      </c>
      <c r="Q13" s="233"/>
      <c r="R13" s="233"/>
      <c r="S13" s="233"/>
      <c r="T13" s="234"/>
      <c r="U13" s="233"/>
      <c r="V13" s="233"/>
      <c r="W13" s="233"/>
      <c r="X13" s="233"/>
      <c r="Y13" s="235">
        <v>0.7</v>
      </c>
      <c r="Z13" s="236">
        <v>1</v>
      </c>
      <c r="AA13" s="146" t="s">
        <v>238</v>
      </c>
      <c r="AB13" s="146" t="s">
        <v>121</v>
      </c>
    </row>
    <row r="14" spans="1:28" s="103" customFormat="1" ht="12.75" customHeight="1">
      <c r="A14" s="139" t="s">
        <v>121</v>
      </c>
      <c r="B14" s="135" t="s">
        <v>122</v>
      </c>
      <c r="C14" s="229" t="s">
        <v>118</v>
      </c>
      <c r="D14" s="139" t="s">
        <v>233</v>
      </c>
      <c r="E14" s="138" t="s">
        <v>124</v>
      </c>
      <c r="F14" s="139" t="s">
        <v>301</v>
      </c>
      <c r="G14" s="137" t="s">
        <v>123</v>
      </c>
      <c r="H14" s="230">
        <f>'SCG Savings'!G21</f>
        <v>0.50327894648736216</v>
      </c>
      <c r="I14" s="231">
        <f>'SCG Savings'!H21</f>
        <v>847.00210986695072</v>
      </c>
      <c r="J14" s="232">
        <f>'SCG Savings'!I21</f>
        <v>91.0706868124077</v>
      </c>
      <c r="K14" s="143">
        <f>'SCG Savings'!J21</f>
        <v>26031.305084745763</v>
      </c>
      <c r="L14" s="137">
        <v>3.67</v>
      </c>
      <c r="M14" s="141">
        <v>0</v>
      </c>
      <c r="N14" s="142">
        <v>0</v>
      </c>
      <c r="O14" s="141">
        <v>0</v>
      </c>
      <c r="P14" s="142">
        <v>0</v>
      </c>
      <c r="Q14" s="233"/>
      <c r="R14" s="233"/>
      <c r="S14" s="233"/>
      <c r="T14" s="234"/>
      <c r="U14" s="233"/>
      <c r="V14" s="233"/>
      <c r="W14" s="233"/>
      <c r="X14" s="233"/>
      <c r="Y14" s="235">
        <v>0.7</v>
      </c>
      <c r="Z14" s="236">
        <v>1</v>
      </c>
      <c r="AA14" s="146" t="s">
        <v>238</v>
      </c>
      <c r="AB14" s="146" t="s">
        <v>121</v>
      </c>
    </row>
    <row r="15" spans="1:28" s="103" customFormat="1" ht="12.75" customHeight="1">
      <c r="A15" s="139" t="s">
        <v>121</v>
      </c>
      <c r="B15" s="135" t="s">
        <v>122</v>
      </c>
      <c r="C15" s="229" t="s">
        <v>118</v>
      </c>
      <c r="D15" s="139" t="s">
        <v>232</v>
      </c>
      <c r="E15" s="138" t="s">
        <v>124</v>
      </c>
      <c r="F15" s="139" t="s">
        <v>15</v>
      </c>
      <c r="G15" s="137" t="s">
        <v>123</v>
      </c>
      <c r="H15" s="230">
        <f>'SDG&amp;E Savings'!G11</f>
        <v>0.17680542146803155</v>
      </c>
      <c r="I15" s="231">
        <f>'SDG&amp;E Savings'!H11</f>
        <v>326.00651416858022</v>
      </c>
      <c r="J15" s="232">
        <f>'SDG&amp;E Savings'!I11</f>
        <v>17.368684005848372</v>
      </c>
      <c r="K15" s="143">
        <f>'SDG&amp;E Savings'!J11</f>
        <v>7013</v>
      </c>
      <c r="L15" s="137">
        <v>3.67</v>
      </c>
      <c r="M15" s="141">
        <v>0</v>
      </c>
      <c r="N15" s="142">
        <v>0</v>
      </c>
      <c r="O15" s="141">
        <v>0</v>
      </c>
      <c r="P15" s="142">
        <v>0</v>
      </c>
      <c r="Q15" s="233"/>
      <c r="R15" s="233"/>
      <c r="S15" s="233"/>
      <c r="T15" s="234"/>
      <c r="U15" s="233"/>
      <c r="V15" s="233"/>
      <c r="W15" s="233"/>
      <c r="X15" s="233"/>
      <c r="Y15" s="235">
        <v>0.7</v>
      </c>
      <c r="Z15" s="236">
        <v>1</v>
      </c>
      <c r="AA15" s="146" t="s">
        <v>238</v>
      </c>
      <c r="AB15" s="146" t="s">
        <v>121</v>
      </c>
    </row>
    <row r="16" spans="1:28" s="103" customFormat="1" ht="12.75" customHeight="1">
      <c r="A16" s="139" t="s">
        <v>121</v>
      </c>
      <c r="B16" s="135" t="s">
        <v>122</v>
      </c>
      <c r="C16" s="229" t="s">
        <v>118</v>
      </c>
      <c r="D16" s="139" t="s">
        <v>233</v>
      </c>
      <c r="E16" s="138" t="s">
        <v>124</v>
      </c>
      <c r="F16" s="139" t="s">
        <v>15</v>
      </c>
      <c r="G16" s="137" t="s">
        <v>123</v>
      </c>
      <c r="H16" s="230">
        <f>'SDG&amp;E Savings'!G21</f>
        <v>0.7292963560585819</v>
      </c>
      <c r="I16" s="231">
        <f>'SDG&amp;E Savings'!H21</f>
        <v>1186.5803177396904</v>
      </c>
      <c r="J16" s="232">
        <f>'SDG&amp;E Savings'!I21</f>
        <v>80.788921656394848</v>
      </c>
      <c r="K16" s="143">
        <f>'SDG&amp;E Savings'!J21</f>
        <v>26031.305084745763</v>
      </c>
      <c r="L16" s="137">
        <v>3.67</v>
      </c>
      <c r="M16" s="141">
        <v>0</v>
      </c>
      <c r="N16" s="142">
        <v>0</v>
      </c>
      <c r="O16" s="141">
        <v>0</v>
      </c>
      <c r="P16" s="142">
        <v>0</v>
      </c>
      <c r="Q16" s="233"/>
      <c r="R16" s="233"/>
      <c r="S16" s="233"/>
      <c r="T16" s="234"/>
      <c r="U16" s="233"/>
      <c r="V16" s="233"/>
      <c r="W16" s="233"/>
      <c r="X16" s="233"/>
      <c r="Y16" s="235">
        <v>0.7</v>
      </c>
      <c r="Z16" s="236">
        <v>1</v>
      </c>
      <c r="AA16" s="146" t="s">
        <v>238</v>
      </c>
      <c r="AB16" s="146" t="s">
        <v>121</v>
      </c>
    </row>
    <row r="17" spans="1:28" s="103" customFormat="1" ht="12.75" customHeight="1">
      <c r="A17" s="137"/>
      <c r="B17" s="135"/>
      <c r="C17" s="136"/>
      <c r="D17" s="137"/>
      <c r="E17" s="138"/>
      <c r="F17" s="139"/>
      <c r="G17" s="137"/>
      <c r="H17" s="137"/>
      <c r="I17" s="140"/>
      <c r="J17" s="137"/>
      <c r="K17" s="137"/>
      <c r="L17" s="137"/>
      <c r="M17" s="141"/>
      <c r="N17" s="142"/>
      <c r="O17" s="141"/>
      <c r="P17" s="142"/>
      <c r="Q17" s="143"/>
      <c r="R17" s="143"/>
      <c r="S17" s="143"/>
      <c r="T17" s="144"/>
      <c r="U17" s="143"/>
      <c r="V17" s="143"/>
      <c r="W17" s="143"/>
      <c r="X17" s="143"/>
      <c r="Y17" s="145"/>
      <c r="Z17" s="146"/>
      <c r="AA17" s="147"/>
      <c r="AB17" s="147"/>
    </row>
    <row r="18" spans="1:28" s="103" customFormat="1" ht="12.75" customHeight="1">
      <c r="A18" s="137"/>
      <c r="B18" s="135"/>
      <c r="C18" s="136"/>
      <c r="D18" s="137"/>
      <c r="E18" s="138"/>
      <c r="F18" s="139"/>
      <c r="G18" s="137"/>
      <c r="H18" s="137"/>
      <c r="I18" s="140"/>
      <c r="J18" s="137"/>
      <c r="K18" s="137"/>
      <c r="L18" s="137"/>
      <c r="M18" s="141"/>
      <c r="N18" s="142"/>
      <c r="O18" s="141"/>
      <c r="P18" s="142"/>
      <c r="Q18" s="143"/>
      <c r="R18" s="143"/>
      <c r="S18" s="143"/>
      <c r="T18" s="144"/>
      <c r="U18" s="143"/>
      <c r="V18" s="143"/>
      <c r="W18" s="143"/>
      <c r="X18" s="143"/>
      <c r="Y18" s="145"/>
      <c r="Z18" s="146"/>
      <c r="AA18" s="147"/>
      <c r="AB18" s="147"/>
    </row>
    <row r="19" spans="1:28" s="103" customFormat="1" ht="12.75" customHeight="1">
      <c r="A19" s="137"/>
      <c r="B19" s="135"/>
      <c r="C19" s="136"/>
      <c r="D19" s="137"/>
      <c r="E19" s="138"/>
      <c r="F19" s="139"/>
      <c r="G19" s="137"/>
      <c r="H19" s="137"/>
      <c r="I19" s="140"/>
      <c r="J19" s="137"/>
      <c r="K19" s="137"/>
      <c r="L19" s="137"/>
      <c r="M19" s="141"/>
      <c r="N19" s="142"/>
      <c r="O19" s="141"/>
      <c r="P19" s="142"/>
      <c r="Q19" s="143"/>
      <c r="R19" s="143"/>
      <c r="S19" s="143"/>
      <c r="T19" s="144"/>
      <c r="U19" s="143"/>
      <c r="V19" s="143"/>
      <c r="W19" s="143"/>
      <c r="X19" s="143"/>
      <c r="Y19" s="145"/>
      <c r="Z19" s="146"/>
      <c r="AA19" s="147"/>
      <c r="AB19" s="147"/>
    </row>
    <row r="20" spans="1:28" s="103" customFormat="1" ht="12.75" customHeight="1">
      <c r="A20" s="137"/>
      <c r="B20" s="135"/>
      <c r="C20" s="136"/>
      <c r="D20" s="137"/>
      <c r="E20" s="138"/>
      <c r="F20" s="139"/>
      <c r="G20" s="137"/>
      <c r="H20" s="137"/>
      <c r="I20" s="140"/>
      <c r="J20" s="137"/>
      <c r="K20" s="137"/>
      <c r="L20" s="137"/>
      <c r="M20" s="141"/>
      <c r="N20" s="142"/>
      <c r="O20" s="141"/>
      <c r="P20" s="142"/>
      <c r="Q20" s="143"/>
      <c r="R20" s="143"/>
      <c r="S20" s="143"/>
      <c r="T20" s="144"/>
      <c r="U20" s="143"/>
      <c r="V20" s="143"/>
      <c r="W20" s="143"/>
      <c r="X20" s="143"/>
      <c r="Y20" s="145"/>
      <c r="Z20" s="146"/>
      <c r="AA20" s="147"/>
      <c r="AB20" s="147"/>
    </row>
    <row r="21" spans="1:28" s="103" customFormat="1" ht="12.75" customHeight="1">
      <c r="A21" s="137"/>
      <c r="B21" s="135"/>
      <c r="C21" s="136"/>
      <c r="D21" s="137"/>
      <c r="E21" s="138"/>
      <c r="F21" s="139"/>
      <c r="G21" s="137"/>
      <c r="H21" s="137"/>
      <c r="I21" s="140"/>
      <c r="J21" s="137"/>
      <c r="K21" s="137"/>
      <c r="L21" s="137"/>
      <c r="M21" s="141"/>
      <c r="N21" s="142"/>
      <c r="O21" s="141"/>
      <c r="P21" s="142"/>
      <c r="Q21" s="143"/>
      <c r="R21" s="143"/>
      <c r="S21" s="143"/>
      <c r="T21" s="144"/>
      <c r="U21" s="143"/>
      <c r="V21" s="143"/>
      <c r="W21" s="143"/>
      <c r="X21" s="143"/>
      <c r="Y21" s="145"/>
      <c r="Z21" s="146"/>
      <c r="AA21" s="147"/>
      <c r="AB21" s="147"/>
    </row>
    <row r="22" spans="1:28" s="103" customFormat="1" ht="12.75" customHeight="1">
      <c r="A22" s="137"/>
      <c r="B22" s="135"/>
      <c r="C22" s="136"/>
      <c r="D22" s="137"/>
      <c r="E22" s="138"/>
      <c r="F22" s="139"/>
      <c r="G22" s="137"/>
      <c r="H22" s="137"/>
      <c r="I22" s="140"/>
      <c r="J22" s="137"/>
      <c r="K22" s="137"/>
      <c r="L22" s="137"/>
      <c r="M22" s="141"/>
      <c r="N22" s="142"/>
      <c r="O22" s="141"/>
      <c r="P22" s="142"/>
      <c r="Q22" s="143"/>
      <c r="R22" s="143"/>
      <c r="S22" s="143"/>
      <c r="T22" s="144"/>
      <c r="U22" s="143"/>
      <c r="V22" s="143"/>
      <c r="W22" s="143"/>
      <c r="X22" s="143"/>
      <c r="Y22" s="145"/>
      <c r="Z22" s="146"/>
      <c r="AA22" s="147"/>
      <c r="AB22" s="147"/>
    </row>
    <row r="23" spans="1:28" s="103" customFormat="1" ht="12.75" customHeight="1">
      <c r="A23" s="137"/>
      <c r="B23" s="135"/>
      <c r="C23" s="136"/>
      <c r="D23" s="137"/>
      <c r="E23" s="138"/>
      <c r="F23" s="139"/>
      <c r="G23" s="137"/>
      <c r="H23" s="137"/>
      <c r="I23" s="140"/>
      <c r="J23" s="137"/>
      <c r="K23" s="137"/>
      <c r="L23" s="137"/>
      <c r="M23" s="141"/>
      <c r="N23" s="142"/>
      <c r="O23" s="141"/>
      <c r="P23" s="142"/>
      <c r="Q23" s="143"/>
      <c r="R23" s="143"/>
      <c r="S23" s="143"/>
      <c r="T23" s="144"/>
      <c r="U23" s="143"/>
      <c r="V23" s="143"/>
      <c r="W23" s="143"/>
      <c r="X23" s="143"/>
      <c r="Y23" s="145"/>
      <c r="Z23" s="146"/>
      <c r="AA23" s="147"/>
      <c r="AB23" s="147"/>
    </row>
    <row r="24" spans="1:28" s="103" customFormat="1" ht="12.75" customHeight="1">
      <c r="A24" s="137"/>
      <c r="B24" s="135"/>
      <c r="C24" s="136"/>
      <c r="D24" s="137"/>
      <c r="E24" s="138"/>
      <c r="F24" s="139"/>
      <c r="G24" s="137"/>
      <c r="H24" s="137"/>
      <c r="I24" s="140"/>
      <c r="J24" s="137"/>
      <c r="K24" s="137"/>
      <c r="L24" s="137"/>
      <c r="M24" s="141"/>
      <c r="N24" s="142"/>
      <c r="O24" s="141"/>
      <c r="P24" s="142"/>
      <c r="Q24" s="143"/>
      <c r="R24" s="143"/>
      <c r="S24" s="143"/>
      <c r="T24" s="144"/>
      <c r="U24" s="143"/>
      <c r="V24" s="143"/>
      <c r="W24" s="143"/>
      <c r="X24" s="143"/>
      <c r="Y24" s="145"/>
      <c r="Z24" s="146"/>
      <c r="AA24" s="147"/>
      <c r="AB24" s="147"/>
    </row>
    <row r="25" spans="1:28" s="103" customFormat="1" ht="12.75" customHeight="1">
      <c r="A25" s="137"/>
      <c r="B25" s="135"/>
      <c r="C25" s="136"/>
      <c r="D25" s="137"/>
      <c r="E25" s="138"/>
      <c r="F25" s="139"/>
      <c r="G25" s="137"/>
      <c r="H25" s="137"/>
      <c r="I25" s="140"/>
      <c r="J25" s="137"/>
      <c r="K25" s="137"/>
      <c r="L25" s="137"/>
      <c r="M25" s="141"/>
      <c r="N25" s="142"/>
      <c r="O25" s="141"/>
      <c r="P25" s="142"/>
      <c r="Q25" s="143"/>
      <c r="R25" s="143"/>
      <c r="S25" s="143"/>
      <c r="T25" s="144"/>
      <c r="U25" s="143"/>
      <c r="V25" s="143"/>
      <c r="W25" s="143"/>
      <c r="X25" s="143"/>
      <c r="Y25" s="145"/>
      <c r="Z25" s="146"/>
      <c r="AA25" s="147"/>
      <c r="AB25" s="147"/>
    </row>
    <row r="26" spans="1:28" s="103" customFormat="1" ht="12.75" customHeight="1">
      <c r="A26" s="137"/>
      <c r="B26" s="135"/>
      <c r="C26" s="136"/>
      <c r="D26" s="137"/>
      <c r="E26" s="138"/>
      <c r="F26" s="139"/>
      <c r="G26" s="137"/>
      <c r="H26" s="137"/>
      <c r="I26" s="140"/>
      <c r="J26" s="137"/>
      <c r="K26" s="137"/>
      <c r="L26" s="137"/>
      <c r="M26" s="141"/>
      <c r="N26" s="142"/>
      <c r="O26" s="141"/>
      <c r="P26" s="142"/>
      <c r="Q26" s="143"/>
      <c r="R26" s="143"/>
      <c r="S26" s="143"/>
      <c r="T26" s="144"/>
      <c r="U26" s="143"/>
      <c r="V26" s="143"/>
      <c r="W26" s="143"/>
      <c r="X26" s="143"/>
      <c r="Y26" s="145"/>
      <c r="Z26" s="146"/>
      <c r="AA26" s="147"/>
      <c r="AB26" s="147"/>
    </row>
    <row r="27" spans="1:28" s="103" customFormat="1" ht="12.75" customHeight="1">
      <c r="A27" s="137"/>
      <c r="B27" s="135"/>
      <c r="C27" s="136"/>
      <c r="D27" s="137"/>
      <c r="E27" s="138"/>
      <c r="F27" s="139"/>
      <c r="G27" s="137"/>
      <c r="H27" s="137"/>
      <c r="I27" s="140"/>
      <c r="J27" s="137"/>
      <c r="K27" s="137"/>
      <c r="L27" s="137"/>
      <c r="M27" s="141"/>
      <c r="N27" s="142"/>
      <c r="O27" s="141"/>
      <c r="P27" s="142"/>
      <c r="Q27" s="143"/>
      <c r="R27" s="143"/>
      <c r="S27" s="143"/>
      <c r="T27" s="144"/>
      <c r="U27" s="143"/>
      <c r="V27" s="143"/>
      <c r="W27" s="143"/>
      <c r="X27" s="143"/>
      <c r="Y27" s="145"/>
      <c r="Z27" s="146"/>
      <c r="AA27" s="147"/>
      <c r="AB27" s="147"/>
    </row>
    <row r="28" spans="1:28" s="103" customFormat="1" ht="12.75" customHeight="1">
      <c r="A28" s="137"/>
      <c r="B28" s="135"/>
      <c r="C28" s="136"/>
      <c r="D28" s="137"/>
      <c r="E28" s="138"/>
      <c r="F28" s="139"/>
      <c r="G28" s="137"/>
      <c r="H28" s="137"/>
      <c r="I28" s="140"/>
      <c r="J28" s="137"/>
      <c r="K28" s="137"/>
      <c r="L28" s="137"/>
      <c r="M28" s="141"/>
      <c r="N28" s="142"/>
      <c r="O28" s="141"/>
      <c r="P28" s="142"/>
      <c r="Q28" s="143"/>
      <c r="R28" s="143"/>
      <c r="S28" s="143"/>
      <c r="T28" s="144"/>
      <c r="U28" s="143"/>
      <c r="V28" s="143"/>
      <c r="W28" s="143"/>
      <c r="X28" s="143"/>
      <c r="Y28" s="145"/>
      <c r="Z28" s="146"/>
      <c r="AA28" s="147"/>
      <c r="AB28" s="147"/>
    </row>
    <row r="29" spans="1:28" s="103" customFormat="1" ht="12.75" customHeight="1">
      <c r="A29" s="137"/>
      <c r="B29" s="135"/>
      <c r="C29" s="136"/>
      <c r="D29" s="137"/>
      <c r="E29" s="138"/>
      <c r="F29" s="139"/>
      <c r="G29" s="137"/>
      <c r="H29" s="137"/>
      <c r="I29" s="140"/>
      <c r="J29" s="137"/>
      <c r="K29" s="137"/>
      <c r="L29" s="137"/>
      <c r="M29" s="141"/>
      <c r="N29" s="142"/>
      <c r="O29" s="141"/>
      <c r="P29" s="142"/>
      <c r="Q29" s="143"/>
      <c r="R29" s="143"/>
      <c r="S29" s="143"/>
      <c r="T29" s="144"/>
      <c r="U29" s="143"/>
      <c r="V29" s="143"/>
      <c r="W29" s="143"/>
      <c r="X29" s="143"/>
      <c r="Y29" s="145"/>
      <c r="Z29" s="146"/>
      <c r="AA29" s="147"/>
      <c r="AB29" s="147"/>
    </row>
    <row r="30" spans="1:28" s="103" customFormat="1" ht="12.75" customHeight="1">
      <c r="A30" s="137"/>
      <c r="B30" s="135"/>
      <c r="C30" s="136"/>
      <c r="D30" s="137"/>
      <c r="E30" s="138"/>
      <c r="F30" s="139"/>
      <c r="G30" s="137"/>
      <c r="H30" s="137"/>
      <c r="I30" s="140"/>
      <c r="J30" s="137"/>
      <c r="K30" s="137"/>
      <c r="L30" s="137"/>
      <c r="M30" s="141"/>
      <c r="N30" s="142"/>
      <c r="O30" s="141"/>
      <c r="P30" s="142"/>
      <c r="Q30" s="143"/>
      <c r="R30" s="143"/>
      <c r="S30" s="143"/>
      <c r="T30" s="144"/>
      <c r="U30" s="143"/>
      <c r="V30" s="143"/>
      <c r="W30" s="143"/>
      <c r="X30" s="143"/>
      <c r="Y30" s="145"/>
      <c r="Z30" s="146"/>
      <c r="AA30" s="147"/>
      <c r="AB30" s="147"/>
    </row>
    <row r="31" spans="1:28" s="103" customFormat="1" ht="12.75" customHeight="1">
      <c r="A31" s="137"/>
      <c r="B31" s="135"/>
      <c r="C31" s="136"/>
      <c r="D31" s="137"/>
      <c r="E31" s="138"/>
      <c r="F31" s="139"/>
      <c r="G31" s="137"/>
      <c r="H31" s="137"/>
      <c r="I31" s="140"/>
      <c r="J31" s="137"/>
      <c r="K31" s="137"/>
      <c r="L31" s="137"/>
      <c r="M31" s="141"/>
      <c r="N31" s="142"/>
      <c r="O31" s="141"/>
      <c r="P31" s="142"/>
      <c r="Q31" s="143"/>
      <c r="R31" s="143"/>
      <c r="S31" s="143"/>
      <c r="T31" s="144"/>
      <c r="U31" s="143"/>
      <c r="V31" s="143"/>
      <c r="W31" s="143"/>
      <c r="X31" s="143"/>
      <c r="Y31" s="145"/>
      <c r="Z31" s="146"/>
      <c r="AA31" s="147"/>
      <c r="AB31" s="147"/>
    </row>
    <row r="32" spans="1:28" s="103" customFormat="1">
      <c r="A32" s="137"/>
      <c r="B32" s="135"/>
      <c r="C32" s="136"/>
      <c r="D32" s="137"/>
      <c r="E32" s="138"/>
      <c r="F32" s="139"/>
      <c r="G32" s="137"/>
      <c r="H32" s="137"/>
      <c r="I32" s="140"/>
      <c r="J32" s="137"/>
      <c r="K32" s="137"/>
      <c r="L32" s="137"/>
      <c r="M32" s="141"/>
      <c r="N32" s="142"/>
      <c r="O32" s="141"/>
      <c r="P32" s="142"/>
      <c r="Q32" s="143"/>
      <c r="R32" s="143"/>
      <c r="S32" s="143"/>
      <c r="T32" s="144"/>
      <c r="U32" s="143"/>
      <c r="V32" s="143"/>
      <c r="W32" s="143"/>
      <c r="X32" s="143"/>
      <c r="Y32" s="145"/>
      <c r="Z32" s="146"/>
      <c r="AA32" s="147"/>
      <c r="AB32" s="147"/>
    </row>
    <row r="33" spans="1:28" s="103" customFormat="1">
      <c r="A33" s="137"/>
      <c r="B33" s="135"/>
      <c r="C33" s="136"/>
      <c r="D33" s="137"/>
      <c r="E33" s="138"/>
      <c r="F33" s="139"/>
      <c r="G33" s="137"/>
      <c r="H33" s="137"/>
      <c r="I33" s="140"/>
      <c r="J33" s="137"/>
      <c r="K33" s="137"/>
      <c r="L33" s="137"/>
      <c r="M33" s="141"/>
      <c r="N33" s="142"/>
      <c r="O33" s="141"/>
      <c r="P33" s="142"/>
      <c r="Q33" s="143"/>
      <c r="R33" s="143"/>
      <c r="S33" s="143"/>
      <c r="T33" s="144"/>
      <c r="U33" s="143"/>
      <c r="V33" s="143"/>
      <c r="W33" s="143"/>
      <c r="X33" s="143"/>
      <c r="Y33" s="145"/>
      <c r="Z33" s="146"/>
      <c r="AA33" s="147"/>
      <c r="AB33" s="147"/>
    </row>
    <row r="34" spans="1:28" s="103" customFormat="1">
      <c r="A34" s="137"/>
      <c r="B34" s="135"/>
      <c r="C34" s="136"/>
      <c r="D34" s="137"/>
      <c r="E34" s="138"/>
      <c r="F34" s="139"/>
      <c r="G34" s="137"/>
      <c r="H34" s="137"/>
      <c r="I34" s="140"/>
      <c r="J34" s="137"/>
      <c r="K34" s="137"/>
      <c r="L34" s="137"/>
      <c r="M34" s="141"/>
      <c r="N34" s="142"/>
      <c r="O34" s="141"/>
      <c r="P34" s="142"/>
      <c r="Q34" s="143"/>
      <c r="R34" s="143"/>
      <c r="S34" s="143"/>
      <c r="T34" s="144"/>
      <c r="U34" s="143"/>
      <c r="V34" s="143"/>
      <c r="W34" s="143"/>
      <c r="X34" s="143"/>
      <c r="Y34" s="145"/>
      <c r="Z34" s="146"/>
      <c r="AA34" s="147"/>
      <c r="AB34" s="147"/>
    </row>
    <row r="35" spans="1:28" s="103" customFormat="1">
      <c r="A35" s="137"/>
      <c r="B35" s="135"/>
      <c r="C35" s="136"/>
      <c r="D35" s="137"/>
      <c r="E35" s="138"/>
      <c r="F35" s="139"/>
      <c r="G35" s="137"/>
      <c r="H35" s="137"/>
      <c r="I35" s="140"/>
      <c r="J35" s="137"/>
      <c r="K35" s="137"/>
      <c r="L35" s="137"/>
      <c r="M35" s="141"/>
      <c r="N35" s="142"/>
      <c r="O35" s="141"/>
      <c r="P35" s="142"/>
      <c r="Q35" s="143"/>
      <c r="R35" s="143"/>
      <c r="S35" s="143"/>
      <c r="T35" s="144"/>
      <c r="U35" s="143"/>
      <c r="V35" s="143"/>
      <c r="W35" s="143"/>
      <c r="X35" s="143"/>
      <c r="Y35" s="145"/>
      <c r="Z35" s="146"/>
      <c r="AA35" s="147"/>
      <c r="AB35" s="147"/>
    </row>
    <row r="36" spans="1:28" s="103" customFormat="1">
      <c r="A36" s="137"/>
      <c r="B36" s="135"/>
      <c r="C36" s="136"/>
      <c r="D36" s="137"/>
      <c r="E36" s="138"/>
      <c r="F36" s="139"/>
      <c r="G36" s="137"/>
      <c r="H36" s="137"/>
      <c r="I36" s="140"/>
      <c r="J36" s="137"/>
      <c r="K36" s="137"/>
      <c r="L36" s="137"/>
      <c r="M36" s="141"/>
      <c r="N36" s="142"/>
      <c r="O36" s="141"/>
      <c r="P36" s="142"/>
      <c r="Q36" s="143"/>
      <c r="R36" s="143"/>
      <c r="S36" s="143"/>
      <c r="T36" s="144"/>
      <c r="U36" s="143"/>
      <c r="V36" s="143"/>
      <c r="W36" s="143"/>
      <c r="X36" s="143"/>
      <c r="Y36" s="145"/>
      <c r="Z36" s="146"/>
      <c r="AA36" s="147"/>
      <c r="AB36" s="147"/>
    </row>
    <row r="37" spans="1:28" s="103" customFormat="1">
      <c r="A37" s="137"/>
      <c r="B37" s="135"/>
      <c r="C37" s="136"/>
      <c r="D37" s="137"/>
      <c r="E37" s="138"/>
      <c r="F37" s="139"/>
      <c r="G37" s="137"/>
      <c r="H37" s="137"/>
      <c r="I37" s="140"/>
      <c r="J37" s="137"/>
      <c r="K37" s="137"/>
      <c r="L37" s="137"/>
      <c r="M37" s="141"/>
      <c r="N37" s="142"/>
      <c r="O37" s="141"/>
      <c r="P37" s="142"/>
      <c r="Q37" s="143"/>
      <c r="R37" s="143"/>
      <c r="S37" s="143"/>
      <c r="T37" s="144"/>
      <c r="U37" s="143"/>
      <c r="V37" s="143"/>
      <c r="W37" s="143"/>
      <c r="X37" s="143"/>
      <c r="Y37" s="145"/>
      <c r="Z37" s="146"/>
      <c r="AA37" s="147"/>
      <c r="AB37" s="147"/>
    </row>
    <row r="38" spans="1:28" s="103" customFormat="1">
      <c r="A38" s="137"/>
      <c r="B38" s="135"/>
      <c r="C38" s="136"/>
      <c r="D38" s="137"/>
      <c r="E38" s="138"/>
      <c r="F38" s="139"/>
      <c r="G38" s="137"/>
      <c r="H38" s="137"/>
      <c r="I38" s="140"/>
      <c r="J38" s="137"/>
      <c r="K38" s="137"/>
      <c r="L38" s="137"/>
      <c r="M38" s="141"/>
      <c r="N38" s="142"/>
      <c r="O38" s="141"/>
      <c r="P38" s="142"/>
      <c r="Q38" s="143"/>
      <c r="R38" s="143"/>
      <c r="S38" s="143"/>
      <c r="T38" s="144"/>
      <c r="U38" s="143"/>
      <c r="V38" s="143"/>
      <c r="W38" s="143"/>
      <c r="X38" s="143"/>
      <c r="Y38" s="145"/>
      <c r="Z38" s="146"/>
      <c r="AA38" s="147"/>
      <c r="AB38" s="147"/>
    </row>
    <row r="39" spans="1:28" s="103" customFormat="1">
      <c r="A39" s="137"/>
      <c r="B39" s="135"/>
      <c r="C39" s="136"/>
      <c r="D39" s="137"/>
      <c r="E39" s="138"/>
      <c r="F39" s="139"/>
      <c r="G39" s="137"/>
      <c r="H39" s="137"/>
      <c r="I39" s="140"/>
      <c r="J39" s="137"/>
      <c r="K39" s="137"/>
      <c r="L39" s="137"/>
      <c r="M39" s="141"/>
      <c r="N39" s="142"/>
      <c r="O39" s="141"/>
      <c r="P39" s="142"/>
      <c r="Q39" s="143"/>
      <c r="R39" s="143"/>
      <c r="S39" s="143"/>
      <c r="T39" s="144"/>
      <c r="U39" s="143"/>
      <c r="V39" s="143"/>
      <c r="W39" s="143"/>
      <c r="X39" s="143"/>
      <c r="Y39" s="145"/>
      <c r="Z39" s="146"/>
      <c r="AA39" s="147"/>
      <c r="AB39" s="147"/>
    </row>
    <row r="40" spans="1:28" s="103" customFormat="1">
      <c r="A40" s="137"/>
      <c r="B40" s="135"/>
      <c r="C40" s="136"/>
      <c r="D40" s="137"/>
      <c r="E40" s="138"/>
      <c r="F40" s="139"/>
      <c r="G40" s="137"/>
      <c r="H40" s="137"/>
      <c r="I40" s="140"/>
      <c r="J40" s="137"/>
      <c r="K40" s="137"/>
      <c r="L40" s="137"/>
      <c r="M40" s="141"/>
      <c r="N40" s="142"/>
      <c r="O40" s="141"/>
      <c r="P40" s="142"/>
      <c r="Q40" s="143"/>
      <c r="R40" s="143"/>
      <c r="S40" s="143"/>
      <c r="T40" s="144"/>
      <c r="U40" s="143"/>
      <c r="V40" s="143"/>
      <c r="W40" s="143"/>
      <c r="X40" s="143"/>
      <c r="Y40" s="145"/>
      <c r="Z40" s="146"/>
      <c r="AA40" s="147"/>
      <c r="AB40" s="147"/>
    </row>
    <row r="41" spans="1:28" s="103" customFormat="1">
      <c r="A41" s="137"/>
      <c r="B41" s="135"/>
      <c r="C41" s="136"/>
      <c r="D41" s="137"/>
      <c r="E41" s="138"/>
      <c r="F41" s="139"/>
      <c r="G41" s="137"/>
      <c r="H41" s="137"/>
      <c r="I41" s="140"/>
      <c r="J41" s="137"/>
      <c r="K41" s="137"/>
      <c r="L41" s="137"/>
      <c r="M41" s="141"/>
      <c r="N41" s="142"/>
      <c r="O41" s="141"/>
      <c r="P41" s="142"/>
      <c r="Q41" s="143"/>
      <c r="R41" s="143"/>
      <c r="S41" s="143"/>
      <c r="T41" s="144"/>
      <c r="U41" s="143"/>
      <c r="V41" s="143"/>
      <c r="W41" s="143"/>
      <c r="X41" s="143"/>
      <c r="Y41" s="145"/>
      <c r="Z41" s="146"/>
      <c r="AA41" s="147"/>
      <c r="AB41" s="147"/>
    </row>
    <row r="42" spans="1:28" s="103" customFormat="1">
      <c r="A42" s="137"/>
      <c r="B42" s="135"/>
      <c r="C42" s="136"/>
      <c r="D42" s="137"/>
      <c r="E42" s="138"/>
      <c r="F42" s="139"/>
      <c r="G42" s="137"/>
      <c r="H42" s="137"/>
      <c r="I42" s="140"/>
      <c r="J42" s="137"/>
      <c r="K42" s="137"/>
      <c r="L42" s="137"/>
      <c r="M42" s="141"/>
      <c r="N42" s="142"/>
      <c r="O42" s="141"/>
      <c r="P42" s="142"/>
      <c r="Q42" s="143"/>
      <c r="R42" s="143"/>
      <c r="S42" s="143"/>
      <c r="T42" s="144"/>
      <c r="U42" s="143"/>
      <c r="V42" s="143"/>
      <c r="W42" s="143"/>
      <c r="X42" s="143"/>
      <c r="Y42" s="145"/>
      <c r="Z42" s="146"/>
      <c r="AA42" s="147"/>
      <c r="AB42" s="147"/>
    </row>
    <row r="43" spans="1:28" s="103" customFormat="1">
      <c r="A43" s="137"/>
      <c r="B43" s="135"/>
      <c r="C43" s="136"/>
      <c r="D43" s="137"/>
      <c r="E43" s="138"/>
      <c r="F43" s="139"/>
      <c r="G43" s="137"/>
      <c r="H43" s="137"/>
      <c r="I43" s="140"/>
      <c r="J43" s="137"/>
      <c r="K43" s="137"/>
      <c r="L43" s="137"/>
      <c r="M43" s="141"/>
      <c r="N43" s="142"/>
      <c r="O43" s="141"/>
      <c r="P43" s="142"/>
      <c r="Q43" s="143"/>
      <c r="R43" s="143"/>
      <c r="S43" s="143"/>
      <c r="T43" s="144"/>
      <c r="U43" s="143"/>
      <c r="V43" s="143"/>
      <c r="W43" s="143"/>
      <c r="X43" s="143"/>
      <c r="Y43" s="145"/>
      <c r="Z43" s="146"/>
      <c r="AA43" s="147"/>
      <c r="AB43" s="147"/>
    </row>
    <row r="44" spans="1:28" s="103" customFormat="1">
      <c r="A44" s="137"/>
      <c r="B44" s="135"/>
      <c r="C44" s="136"/>
      <c r="D44" s="137"/>
      <c r="E44" s="138"/>
      <c r="F44" s="139"/>
      <c r="G44" s="137"/>
      <c r="H44" s="137"/>
      <c r="I44" s="140"/>
      <c r="J44" s="137"/>
      <c r="K44" s="137"/>
      <c r="L44" s="137"/>
      <c r="M44" s="141"/>
      <c r="N44" s="142"/>
      <c r="O44" s="141"/>
      <c r="P44" s="142"/>
      <c r="Q44" s="143"/>
      <c r="R44" s="143"/>
      <c r="S44" s="143"/>
      <c r="T44" s="144"/>
      <c r="U44" s="143"/>
      <c r="V44" s="143"/>
      <c r="W44" s="143"/>
      <c r="X44" s="143"/>
      <c r="Y44" s="145"/>
      <c r="Z44" s="146"/>
      <c r="AA44" s="147"/>
      <c r="AB44" s="147"/>
    </row>
    <row r="45" spans="1:28" s="103" customFormat="1">
      <c r="A45" s="137"/>
      <c r="B45" s="135"/>
      <c r="C45" s="136"/>
      <c r="D45" s="137"/>
      <c r="E45" s="138"/>
      <c r="F45" s="139"/>
      <c r="G45" s="137"/>
      <c r="H45" s="137"/>
      <c r="I45" s="140"/>
      <c r="J45" s="137"/>
      <c r="K45" s="137"/>
      <c r="L45" s="137"/>
      <c r="M45" s="141"/>
      <c r="N45" s="142"/>
      <c r="O45" s="141"/>
      <c r="P45" s="142"/>
      <c r="Q45" s="143"/>
      <c r="R45" s="143"/>
      <c r="S45" s="143"/>
      <c r="T45" s="144"/>
      <c r="U45" s="143"/>
      <c r="V45" s="143"/>
      <c r="W45" s="143"/>
      <c r="X45" s="143"/>
      <c r="Y45" s="145"/>
      <c r="Z45" s="146"/>
      <c r="AA45" s="147"/>
      <c r="AB45" s="147"/>
    </row>
    <row r="46" spans="1:28" s="103" customFormat="1">
      <c r="A46" s="137"/>
      <c r="B46" s="135"/>
      <c r="C46" s="136"/>
      <c r="D46" s="137"/>
      <c r="E46" s="138"/>
      <c r="F46" s="139"/>
      <c r="G46" s="137"/>
      <c r="H46" s="137"/>
      <c r="I46" s="140"/>
      <c r="J46" s="137"/>
      <c r="K46" s="137"/>
      <c r="L46" s="137"/>
      <c r="M46" s="141"/>
      <c r="N46" s="142"/>
      <c r="O46" s="141"/>
      <c r="P46" s="142"/>
      <c r="Q46" s="143"/>
      <c r="R46" s="143"/>
      <c r="S46" s="143"/>
      <c r="T46" s="144"/>
      <c r="U46" s="143"/>
      <c r="V46" s="143"/>
      <c r="W46" s="143"/>
      <c r="X46" s="143"/>
      <c r="Y46" s="145"/>
      <c r="Z46" s="146"/>
      <c r="AA46" s="147"/>
      <c r="AB46" s="147"/>
    </row>
    <row r="47" spans="1:28" s="103" customFormat="1">
      <c r="A47" s="137"/>
      <c r="B47" s="135"/>
      <c r="C47" s="136"/>
      <c r="D47" s="137"/>
      <c r="E47" s="138"/>
      <c r="F47" s="139"/>
      <c r="G47" s="137"/>
      <c r="H47" s="137"/>
      <c r="I47" s="140"/>
      <c r="J47" s="137"/>
      <c r="K47" s="137"/>
      <c r="L47" s="137"/>
      <c r="M47" s="141"/>
      <c r="N47" s="142"/>
      <c r="O47" s="141"/>
      <c r="P47" s="142"/>
      <c r="Q47" s="143"/>
      <c r="R47" s="143"/>
      <c r="S47" s="143"/>
      <c r="T47" s="144"/>
      <c r="U47" s="143"/>
      <c r="V47" s="143"/>
      <c r="W47" s="143"/>
      <c r="X47" s="143"/>
      <c r="Y47" s="145"/>
      <c r="Z47" s="146"/>
      <c r="AA47" s="147"/>
      <c r="AB47" s="147"/>
    </row>
    <row r="48" spans="1:28" s="103" customFormat="1">
      <c r="A48" s="137"/>
      <c r="B48" s="135"/>
      <c r="C48" s="136"/>
      <c r="D48" s="137"/>
      <c r="E48" s="138"/>
      <c r="F48" s="139"/>
      <c r="G48" s="137"/>
      <c r="H48" s="137"/>
      <c r="I48" s="140"/>
      <c r="J48" s="137"/>
      <c r="K48" s="137"/>
      <c r="L48" s="137"/>
      <c r="M48" s="141"/>
      <c r="N48" s="142"/>
      <c r="O48" s="141"/>
      <c r="P48" s="142"/>
      <c r="Q48" s="143"/>
      <c r="R48" s="143"/>
      <c r="S48" s="143"/>
      <c r="T48" s="144"/>
      <c r="U48" s="143"/>
      <c r="V48" s="143"/>
      <c r="W48" s="143"/>
      <c r="X48" s="143"/>
      <c r="Y48" s="145"/>
      <c r="Z48" s="146"/>
      <c r="AA48" s="147"/>
      <c r="AB48" s="147"/>
    </row>
    <row r="49" spans="1:28" s="103" customFormat="1">
      <c r="A49" s="137"/>
      <c r="B49" s="135"/>
      <c r="C49" s="136"/>
      <c r="D49" s="137"/>
      <c r="E49" s="138"/>
      <c r="F49" s="139"/>
      <c r="G49" s="137"/>
      <c r="H49" s="137"/>
      <c r="I49" s="140"/>
      <c r="J49" s="137"/>
      <c r="K49" s="137"/>
      <c r="L49" s="137"/>
      <c r="M49" s="141"/>
      <c r="N49" s="142"/>
      <c r="O49" s="141"/>
      <c r="P49" s="142"/>
      <c r="Q49" s="143"/>
      <c r="R49" s="143"/>
      <c r="S49" s="143"/>
      <c r="T49" s="144"/>
      <c r="U49" s="143"/>
      <c r="V49" s="143"/>
      <c r="W49" s="143"/>
      <c r="X49" s="143"/>
      <c r="Y49" s="145"/>
      <c r="Z49" s="146"/>
      <c r="AA49" s="147"/>
      <c r="AB49" s="147"/>
    </row>
    <row r="50" spans="1:28" s="103" customFormat="1">
      <c r="A50" s="137"/>
      <c r="B50" s="135"/>
      <c r="C50" s="136"/>
      <c r="D50" s="137"/>
      <c r="E50" s="138"/>
      <c r="F50" s="139"/>
      <c r="G50" s="137"/>
      <c r="H50" s="137"/>
      <c r="I50" s="140"/>
      <c r="J50" s="137"/>
      <c r="K50" s="137"/>
      <c r="L50" s="137"/>
      <c r="M50" s="141"/>
      <c r="N50" s="142"/>
      <c r="O50" s="141"/>
      <c r="P50" s="142"/>
      <c r="Q50" s="143"/>
      <c r="R50" s="143"/>
      <c r="S50" s="143"/>
      <c r="T50" s="144"/>
      <c r="U50" s="143"/>
      <c r="V50" s="143"/>
      <c r="W50" s="143"/>
      <c r="X50" s="143"/>
      <c r="Y50" s="145"/>
      <c r="Z50" s="146"/>
      <c r="AA50" s="147"/>
      <c r="AB50" s="147"/>
    </row>
    <row r="51" spans="1:28" s="103" customFormat="1">
      <c r="A51" s="137"/>
      <c r="B51" s="135"/>
      <c r="C51" s="136"/>
      <c r="D51" s="137"/>
      <c r="E51" s="138"/>
      <c r="F51" s="139"/>
      <c r="G51" s="137"/>
      <c r="H51" s="137"/>
      <c r="I51" s="140"/>
      <c r="J51" s="137"/>
      <c r="K51" s="137"/>
      <c r="L51" s="137"/>
      <c r="M51" s="141"/>
      <c r="N51" s="142"/>
      <c r="O51" s="141"/>
      <c r="P51" s="142"/>
      <c r="Q51" s="143"/>
      <c r="R51" s="143"/>
      <c r="S51" s="143"/>
      <c r="T51" s="144"/>
      <c r="U51" s="143"/>
      <c r="V51" s="143"/>
      <c r="W51" s="143"/>
      <c r="X51" s="143"/>
      <c r="Y51" s="145"/>
      <c r="Z51" s="146"/>
      <c r="AA51" s="147"/>
      <c r="AB51" s="147"/>
    </row>
    <row r="52" spans="1:28" s="103" customFormat="1">
      <c r="A52" s="137"/>
      <c r="B52" s="135"/>
      <c r="C52" s="136"/>
      <c r="D52" s="137"/>
      <c r="E52" s="138"/>
      <c r="F52" s="139"/>
      <c r="G52" s="137"/>
      <c r="H52" s="137"/>
      <c r="I52" s="140"/>
      <c r="J52" s="137"/>
      <c r="K52" s="137"/>
      <c r="L52" s="137"/>
      <c r="M52" s="141"/>
      <c r="N52" s="142"/>
      <c r="O52" s="141"/>
      <c r="P52" s="142"/>
      <c r="Q52" s="143"/>
      <c r="R52" s="143"/>
      <c r="S52" s="143"/>
      <c r="T52" s="144"/>
      <c r="U52" s="143"/>
      <c r="V52" s="143"/>
      <c r="W52" s="143"/>
      <c r="X52" s="143"/>
      <c r="Y52" s="145"/>
      <c r="Z52" s="146"/>
      <c r="AA52" s="147"/>
      <c r="AB52" s="147"/>
    </row>
    <row r="53" spans="1:28" s="103" customFormat="1">
      <c r="A53" s="137"/>
      <c r="B53" s="135"/>
      <c r="C53" s="136"/>
      <c r="D53" s="137"/>
      <c r="E53" s="138"/>
      <c r="F53" s="139"/>
      <c r="G53" s="137"/>
      <c r="H53" s="137"/>
      <c r="I53" s="140"/>
      <c r="J53" s="137"/>
      <c r="K53" s="137"/>
      <c r="L53" s="137"/>
      <c r="M53" s="141"/>
      <c r="N53" s="142"/>
      <c r="O53" s="141"/>
      <c r="P53" s="142"/>
      <c r="Q53" s="143"/>
      <c r="R53" s="143"/>
      <c r="S53" s="143"/>
      <c r="T53" s="144"/>
      <c r="U53" s="143"/>
      <c r="V53" s="143"/>
      <c r="W53" s="143"/>
      <c r="X53" s="143"/>
      <c r="Y53" s="145"/>
      <c r="Z53" s="146"/>
      <c r="AA53" s="147"/>
      <c r="AB53" s="147"/>
    </row>
    <row r="54" spans="1:28" s="103" customFormat="1">
      <c r="A54" s="137"/>
      <c r="B54" s="135"/>
      <c r="C54" s="136"/>
      <c r="D54" s="137"/>
      <c r="E54" s="138"/>
      <c r="F54" s="139"/>
      <c r="G54" s="137"/>
      <c r="H54" s="137"/>
      <c r="I54" s="140"/>
      <c r="J54" s="137"/>
      <c r="K54" s="137"/>
      <c r="L54" s="137"/>
      <c r="M54" s="141"/>
      <c r="N54" s="142"/>
      <c r="O54" s="141"/>
      <c r="P54" s="142"/>
      <c r="Q54" s="143"/>
      <c r="R54" s="143"/>
      <c r="S54" s="143"/>
      <c r="T54" s="144"/>
      <c r="U54" s="143"/>
      <c r="V54" s="143"/>
      <c r="W54" s="143"/>
      <c r="X54" s="143"/>
      <c r="Y54" s="145"/>
      <c r="Z54" s="146"/>
      <c r="AA54" s="147"/>
      <c r="AB54" s="147"/>
    </row>
    <row r="55" spans="1:28" s="103" customFormat="1">
      <c r="A55" s="137"/>
      <c r="B55" s="135"/>
      <c r="C55" s="136"/>
      <c r="D55" s="137"/>
      <c r="E55" s="138"/>
      <c r="F55" s="139"/>
      <c r="G55" s="137"/>
      <c r="H55" s="137"/>
      <c r="I55" s="140"/>
      <c r="J55" s="137"/>
      <c r="K55" s="137"/>
      <c r="L55" s="137"/>
      <c r="M55" s="141"/>
      <c r="N55" s="142"/>
      <c r="O55" s="141"/>
      <c r="P55" s="142"/>
      <c r="Q55" s="143"/>
      <c r="R55" s="143"/>
      <c r="S55" s="143"/>
      <c r="T55" s="144"/>
      <c r="U55" s="143"/>
      <c r="V55" s="143"/>
      <c r="W55" s="143"/>
      <c r="X55" s="143"/>
      <c r="Y55" s="145"/>
      <c r="Z55" s="146"/>
      <c r="AA55" s="147"/>
      <c r="AB55" s="147"/>
    </row>
    <row r="56" spans="1:28" s="103" customFormat="1">
      <c r="A56" s="137"/>
      <c r="B56" s="135"/>
      <c r="C56" s="136"/>
      <c r="D56" s="137"/>
      <c r="E56" s="138"/>
      <c r="F56" s="139"/>
      <c r="G56" s="137"/>
      <c r="H56" s="137"/>
      <c r="I56" s="140"/>
      <c r="J56" s="137"/>
      <c r="K56" s="137"/>
      <c r="L56" s="137"/>
      <c r="M56" s="141"/>
      <c r="N56" s="142"/>
      <c r="O56" s="141"/>
      <c r="P56" s="142"/>
      <c r="Q56" s="143"/>
      <c r="R56" s="143"/>
      <c r="S56" s="143"/>
      <c r="T56" s="144"/>
      <c r="U56" s="143"/>
      <c r="V56" s="143"/>
      <c r="W56" s="143"/>
      <c r="X56" s="143"/>
      <c r="Y56" s="145"/>
      <c r="Z56" s="146"/>
      <c r="AA56" s="147"/>
      <c r="AB56" s="147"/>
    </row>
    <row r="57" spans="1:28" s="103" customFormat="1">
      <c r="A57" s="137"/>
      <c r="B57" s="135"/>
      <c r="C57" s="136"/>
      <c r="D57" s="137"/>
      <c r="E57" s="138"/>
      <c r="F57" s="139"/>
      <c r="G57" s="137"/>
      <c r="H57" s="137"/>
      <c r="I57" s="140"/>
      <c r="J57" s="137"/>
      <c r="K57" s="137"/>
      <c r="L57" s="137"/>
      <c r="M57" s="141"/>
      <c r="N57" s="142"/>
      <c r="O57" s="141"/>
      <c r="P57" s="142"/>
      <c r="Q57" s="143"/>
      <c r="R57" s="143"/>
      <c r="S57" s="143"/>
      <c r="T57" s="144"/>
      <c r="U57" s="143"/>
      <c r="V57" s="143"/>
      <c r="W57" s="143"/>
      <c r="X57" s="143"/>
      <c r="Y57" s="145"/>
      <c r="Z57" s="146"/>
      <c r="AA57" s="147"/>
      <c r="AB57" s="147"/>
    </row>
    <row r="58" spans="1:28" s="103" customFormat="1">
      <c r="A58" s="137"/>
      <c r="B58" s="135"/>
      <c r="C58" s="136"/>
      <c r="D58" s="137"/>
      <c r="E58" s="138"/>
      <c r="F58" s="139"/>
      <c r="G58" s="137"/>
      <c r="H58" s="137"/>
      <c r="I58" s="140"/>
      <c r="J58" s="137"/>
      <c r="K58" s="137"/>
      <c r="L58" s="137"/>
      <c r="M58" s="141"/>
      <c r="N58" s="142"/>
      <c r="O58" s="141"/>
      <c r="P58" s="142"/>
      <c r="Q58" s="143"/>
      <c r="R58" s="143"/>
      <c r="S58" s="143"/>
      <c r="T58" s="144"/>
      <c r="U58" s="143"/>
      <c r="V58" s="143"/>
      <c r="W58" s="143"/>
      <c r="X58" s="143"/>
      <c r="Y58" s="145"/>
      <c r="Z58" s="146"/>
      <c r="AA58" s="147"/>
      <c r="AB58" s="147"/>
    </row>
    <row r="59" spans="1:28" s="103" customFormat="1">
      <c r="A59" s="137"/>
      <c r="B59" s="135"/>
      <c r="C59" s="136"/>
      <c r="D59" s="137"/>
      <c r="E59" s="138"/>
      <c r="F59" s="139"/>
      <c r="G59" s="137"/>
      <c r="H59" s="137"/>
      <c r="I59" s="140"/>
      <c r="J59" s="137"/>
      <c r="K59" s="137"/>
      <c r="L59" s="137"/>
      <c r="M59" s="141"/>
      <c r="N59" s="142"/>
      <c r="O59" s="141"/>
      <c r="P59" s="142"/>
      <c r="Q59" s="143"/>
      <c r="R59" s="143"/>
      <c r="S59" s="143"/>
      <c r="T59" s="144"/>
      <c r="U59" s="143"/>
      <c r="V59" s="143"/>
      <c r="W59" s="143"/>
      <c r="X59" s="143"/>
      <c r="Y59" s="145"/>
      <c r="Z59" s="146"/>
      <c r="AA59" s="147"/>
      <c r="AB59" s="147"/>
    </row>
    <row r="60" spans="1:28" s="103" customFormat="1">
      <c r="A60" s="137"/>
      <c r="B60" s="135"/>
      <c r="C60" s="136"/>
      <c r="D60" s="137"/>
      <c r="E60" s="138"/>
      <c r="F60" s="139"/>
      <c r="G60" s="137"/>
      <c r="H60" s="137"/>
      <c r="I60" s="140"/>
      <c r="J60" s="137"/>
      <c r="K60" s="137"/>
      <c r="L60" s="137"/>
      <c r="M60" s="141"/>
      <c r="N60" s="142"/>
      <c r="O60" s="141"/>
      <c r="P60" s="142"/>
      <c r="Q60" s="143"/>
      <c r="R60" s="143"/>
      <c r="S60" s="143"/>
      <c r="T60" s="144"/>
      <c r="U60" s="143"/>
      <c r="V60" s="143"/>
      <c r="W60" s="143"/>
      <c r="X60" s="143"/>
      <c r="Y60" s="145"/>
      <c r="Z60" s="146"/>
      <c r="AA60" s="147"/>
      <c r="AB60" s="147"/>
    </row>
    <row r="61" spans="1:28" s="103" customFormat="1">
      <c r="A61" s="137"/>
      <c r="B61" s="135"/>
      <c r="C61" s="136"/>
      <c r="D61" s="137"/>
      <c r="E61" s="138"/>
      <c r="F61" s="139"/>
      <c r="G61" s="137"/>
      <c r="H61" s="137"/>
      <c r="I61" s="140"/>
      <c r="J61" s="137"/>
      <c r="K61" s="137"/>
      <c r="L61" s="137"/>
      <c r="M61" s="141"/>
      <c r="N61" s="142"/>
      <c r="O61" s="141"/>
      <c r="P61" s="142"/>
      <c r="Q61" s="143"/>
      <c r="R61" s="143"/>
      <c r="S61" s="143"/>
      <c r="T61" s="144"/>
      <c r="U61" s="143"/>
      <c r="V61" s="143"/>
      <c r="W61" s="143"/>
      <c r="X61" s="143"/>
      <c r="Y61" s="145"/>
      <c r="Z61" s="146"/>
      <c r="AA61" s="147"/>
      <c r="AB61" s="147"/>
    </row>
    <row r="62" spans="1:28" s="103" customFormat="1">
      <c r="A62" s="137"/>
      <c r="B62" s="135"/>
      <c r="C62" s="136"/>
      <c r="D62" s="137"/>
      <c r="E62" s="138"/>
      <c r="F62" s="139"/>
      <c r="G62" s="137"/>
      <c r="H62" s="137"/>
      <c r="I62" s="140"/>
      <c r="J62" s="137"/>
      <c r="K62" s="137"/>
      <c r="L62" s="137"/>
      <c r="M62" s="141"/>
      <c r="N62" s="142"/>
      <c r="O62" s="141"/>
      <c r="P62" s="142"/>
      <c r="Q62" s="143"/>
      <c r="R62" s="143"/>
      <c r="S62" s="143"/>
      <c r="T62" s="144"/>
      <c r="U62" s="143"/>
      <c r="V62" s="143"/>
      <c r="W62" s="143"/>
      <c r="X62" s="143"/>
      <c r="Y62" s="145"/>
      <c r="Z62" s="146"/>
      <c r="AA62" s="147"/>
      <c r="AB62" s="147"/>
    </row>
    <row r="63" spans="1:28" s="103" customFormat="1">
      <c r="A63" s="137"/>
      <c r="B63" s="135"/>
      <c r="C63" s="136"/>
      <c r="D63" s="137"/>
      <c r="E63" s="138"/>
      <c r="F63" s="139"/>
      <c r="G63" s="137"/>
      <c r="H63" s="137"/>
      <c r="I63" s="140"/>
      <c r="J63" s="140"/>
      <c r="K63" s="140"/>
      <c r="L63" s="137"/>
      <c r="M63" s="141"/>
      <c r="N63" s="142"/>
      <c r="O63" s="141"/>
      <c r="P63" s="142"/>
      <c r="Q63" s="143"/>
      <c r="R63" s="143"/>
      <c r="S63" s="143"/>
      <c r="T63" s="144"/>
      <c r="U63" s="143"/>
      <c r="V63" s="143"/>
      <c r="W63" s="143"/>
      <c r="X63" s="143"/>
      <c r="Y63" s="145"/>
      <c r="Z63" s="146"/>
      <c r="AA63" s="147"/>
      <c r="AB63" s="147"/>
    </row>
    <row r="64" spans="1:28" s="103" customFormat="1">
      <c r="A64" s="137"/>
      <c r="B64" s="135"/>
      <c r="C64" s="136"/>
      <c r="D64" s="137"/>
      <c r="E64" s="138"/>
      <c r="F64" s="139"/>
      <c r="G64" s="137"/>
      <c r="H64" s="137"/>
      <c r="I64" s="140"/>
      <c r="J64" s="140"/>
      <c r="K64" s="140"/>
      <c r="L64" s="137"/>
      <c r="M64" s="141"/>
      <c r="N64" s="142"/>
      <c r="O64" s="141"/>
      <c r="P64" s="142"/>
      <c r="Q64" s="143"/>
      <c r="R64" s="143"/>
      <c r="S64" s="143"/>
      <c r="T64" s="144"/>
      <c r="U64" s="143"/>
      <c r="V64" s="143"/>
      <c r="W64" s="143"/>
      <c r="X64" s="143"/>
      <c r="Y64" s="145"/>
      <c r="Z64" s="146"/>
      <c r="AA64" s="147"/>
      <c r="AB64" s="147"/>
    </row>
    <row r="65" spans="1:28" s="103" customFormat="1">
      <c r="A65" s="137"/>
      <c r="B65" s="135"/>
      <c r="C65" s="136"/>
      <c r="D65" s="137"/>
      <c r="E65" s="138"/>
      <c r="F65" s="139"/>
      <c r="G65" s="137"/>
      <c r="H65" s="137"/>
      <c r="I65" s="140"/>
      <c r="J65" s="140"/>
      <c r="K65" s="140"/>
      <c r="L65" s="137"/>
      <c r="M65" s="141"/>
      <c r="N65" s="142"/>
      <c r="O65" s="141"/>
      <c r="P65" s="142"/>
      <c r="Q65" s="143"/>
      <c r="R65" s="143"/>
      <c r="S65" s="143"/>
      <c r="T65" s="144"/>
      <c r="U65" s="143"/>
      <c r="V65" s="143"/>
      <c r="W65" s="143"/>
      <c r="X65" s="143"/>
      <c r="Y65" s="145"/>
      <c r="Z65" s="146"/>
      <c r="AA65" s="147"/>
      <c r="AB65" s="147"/>
    </row>
    <row r="66" spans="1:28" s="103" customFormat="1">
      <c r="A66" s="137"/>
      <c r="B66" s="135"/>
      <c r="C66" s="136"/>
      <c r="D66" s="137"/>
      <c r="E66" s="138"/>
      <c r="F66" s="139"/>
      <c r="G66" s="137"/>
      <c r="H66" s="137"/>
      <c r="I66" s="140"/>
      <c r="J66" s="140"/>
      <c r="K66" s="140"/>
      <c r="L66" s="137"/>
      <c r="M66" s="141"/>
      <c r="N66" s="142"/>
      <c r="O66" s="141"/>
      <c r="P66" s="142"/>
      <c r="Q66" s="143"/>
      <c r="R66" s="143"/>
      <c r="S66" s="143"/>
      <c r="T66" s="144"/>
      <c r="U66" s="143"/>
      <c r="V66" s="143"/>
      <c r="W66" s="143"/>
      <c r="X66" s="143"/>
      <c r="Y66" s="145"/>
      <c r="Z66" s="146"/>
      <c r="AA66" s="147"/>
      <c r="AB66" s="147"/>
    </row>
    <row r="67" spans="1:28" s="103" customFormat="1">
      <c r="A67" s="137"/>
      <c r="B67" s="135"/>
      <c r="C67" s="136"/>
      <c r="D67" s="137"/>
      <c r="E67" s="138"/>
      <c r="F67" s="139"/>
      <c r="G67" s="137"/>
      <c r="H67" s="137"/>
      <c r="I67" s="140"/>
      <c r="J67" s="140"/>
      <c r="K67" s="140"/>
      <c r="L67" s="137"/>
      <c r="M67" s="141"/>
      <c r="N67" s="142"/>
      <c r="O67" s="141"/>
      <c r="P67" s="142"/>
      <c r="Q67" s="143"/>
      <c r="R67" s="143"/>
      <c r="S67" s="143"/>
      <c r="T67" s="144"/>
      <c r="U67" s="143"/>
      <c r="V67" s="143"/>
      <c r="W67" s="143"/>
      <c r="X67" s="143"/>
      <c r="Y67" s="145"/>
      <c r="Z67" s="146"/>
      <c r="AA67" s="147"/>
      <c r="AB67" s="147"/>
    </row>
    <row r="68" spans="1:28" s="103" customFormat="1">
      <c r="A68" s="137"/>
      <c r="B68" s="135"/>
      <c r="C68" s="136"/>
      <c r="D68" s="137"/>
      <c r="E68" s="138"/>
      <c r="F68" s="139"/>
      <c r="G68" s="137"/>
      <c r="H68" s="137"/>
      <c r="I68" s="140"/>
      <c r="J68" s="140"/>
      <c r="K68" s="140"/>
      <c r="L68" s="137"/>
      <c r="M68" s="141"/>
      <c r="N68" s="142"/>
      <c r="O68" s="141"/>
      <c r="P68" s="142"/>
      <c r="Q68" s="143"/>
      <c r="R68" s="143"/>
      <c r="S68" s="143"/>
      <c r="T68" s="144"/>
      <c r="U68" s="143"/>
      <c r="V68" s="143"/>
      <c r="W68" s="143"/>
      <c r="X68" s="143"/>
      <c r="Y68" s="145"/>
      <c r="Z68" s="146"/>
      <c r="AA68" s="147"/>
      <c r="AB68" s="147"/>
    </row>
    <row r="69" spans="1:28" s="103" customFormat="1">
      <c r="A69" s="137"/>
      <c r="B69" s="135"/>
      <c r="C69" s="136"/>
      <c r="D69" s="137"/>
      <c r="E69" s="138"/>
      <c r="F69" s="139"/>
      <c r="G69" s="137"/>
      <c r="H69" s="137"/>
      <c r="I69" s="140"/>
      <c r="J69" s="140"/>
      <c r="K69" s="140"/>
      <c r="L69" s="137"/>
      <c r="M69" s="141"/>
      <c r="N69" s="142"/>
      <c r="O69" s="141"/>
      <c r="P69" s="142"/>
      <c r="Q69" s="143"/>
      <c r="R69" s="143"/>
      <c r="S69" s="143"/>
      <c r="T69" s="144"/>
      <c r="U69" s="143"/>
      <c r="V69" s="143"/>
      <c r="W69" s="143"/>
      <c r="X69" s="143"/>
      <c r="Y69" s="145"/>
      <c r="Z69" s="146"/>
      <c r="AA69" s="147"/>
      <c r="AB69" s="147"/>
    </row>
    <row r="70" spans="1:28" s="103" customFormat="1">
      <c r="A70" s="137"/>
      <c r="B70" s="135"/>
      <c r="C70" s="136"/>
      <c r="D70" s="137"/>
      <c r="E70" s="138"/>
      <c r="F70" s="139"/>
      <c r="G70" s="137"/>
      <c r="H70" s="137"/>
      <c r="I70" s="140"/>
      <c r="J70" s="140"/>
      <c r="K70" s="140"/>
      <c r="L70" s="137"/>
      <c r="M70" s="141"/>
      <c r="N70" s="142"/>
      <c r="O70" s="141"/>
      <c r="P70" s="142"/>
      <c r="Q70" s="143"/>
      <c r="R70" s="143"/>
      <c r="S70" s="143"/>
      <c r="T70" s="144"/>
      <c r="U70" s="143"/>
      <c r="V70" s="143"/>
      <c r="W70" s="143"/>
      <c r="X70" s="143"/>
      <c r="Y70" s="145"/>
      <c r="Z70" s="146"/>
      <c r="AA70" s="147"/>
      <c r="AB70" s="147"/>
    </row>
    <row r="71" spans="1:28" s="103" customFormat="1">
      <c r="A71" s="137"/>
      <c r="B71" s="135"/>
      <c r="C71" s="136"/>
      <c r="D71" s="137"/>
      <c r="E71" s="138"/>
      <c r="F71" s="139"/>
      <c r="G71" s="137"/>
      <c r="H71" s="137"/>
      <c r="I71" s="140"/>
      <c r="J71" s="140"/>
      <c r="K71" s="140"/>
      <c r="L71" s="137"/>
      <c r="M71" s="141"/>
      <c r="N71" s="142"/>
      <c r="O71" s="141"/>
      <c r="P71" s="142"/>
      <c r="Q71" s="143"/>
      <c r="R71" s="143"/>
      <c r="S71" s="143"/>
      <c r="T71" s="144"/>
      <c r="U71" s="143"/>
      <c r="V71" s="143"/>
      <c r="W71" s="143"/>
      <c r="X71" s="143"/>
      <c r="Y71" s="145"/>
      <c r="Z71" s="146"/>
      <c r="AA71" s="147"/>
      <c r="AB71" s="147"/>
    </row>
    <row r="72" spans="1:28" s="103" customFormat="1">
      <c r="A72" s="137"/>
      <c r="B72" s="135"/>
      <c r="C72" s="136"/>
      <c r="D72" s="137"/>
      <c r="E72" s="138"/>
      <c r="F72" s="139"/>
      <c r="G72" s="137"/>
      <c r="H72" s="137"/>
      <c r="I72" s="140"/>
      <c r="J72" s="140"/>
      <c r="K72" s="140"/>
      <c r="L72" s="137"/>
      <c r="M72" s="141"/>
      <c r="N72" s="142"/>
      <c r="O72" s="141"/>
      <c r="P72" s="142"/>
      <c r="Q72" s="143"/>
      <c r="R72" s="143"/>
      <c r="S72" s="143"/>
      <c r="T72" s="144"/>
      <c r="U72" s="143"/>
      <c r="V72" s="143"/>
      <c r="W72" s="143"/>
      <c r="X72" s="143"/>
      <c r="Y72" s="145"/>
      <c r="Z72" s="146"/>
      <c r="AA72" s="147"/>
      <c r="AB72" s="147"/>
    </row>
    <row r="73" spans="1:28" s="103" customFormat="1">
      <c r="A73" s="137"/>
      <c r="B73" s="135"/>
      <c r="C73" s="136"/>
      <c r="D73" s="137"/>
      <c r="E73" s="138"/>
      <c r="F73" s="139"/>
      <c r="G73" s="137"/>
      <c r="H73" s="137"/>
      <c r="I73" s="140"/>
      <c r="J73" s="140"/>
      <c r="K73" s="140"/>
      <c r="L73" s="137"/>
      <c r="M73" s="141"/>
      <c r="N73" s="142"/>
      <c r="O73" s="141"/>
      <c r="P73" s="142"/>
      <c r="Q73" s="143"/>
      <c r="R73" s="143"/>
      <c r="S73" s="143"/>
      <c r="T73" s="144"/>
      <c r="U73" s="143"/>
      <c r="V73" s="143"/>
      <c r="W73" s="143"/>
      <c r="X73" s="143"/>
      <c r="Y73" s="145"/>
      <c r="Z73" s="146"/>
      <c r="AA73" s="147"/>
      <c r="AB73" s="147"/>
    </row>
    <row r="74" spans="1:28" s="103" customFormat="1">
      <c r="A74" s="137"/>
      <c r="B74" s="135"/>
      <c r="C74" s="136"/>
      <c r="D74" s="137"/>
      <c r="E74" s="138"/>
      <c r="F74" s="139"/>
      <c r="G74" s="137"/>
      <c r="H74" s="137"/>
      <c r="I74" s="140"/>
      <c r="J74" s="140"/>
      <c r="K74" s="140"/>
      <c r="L74" s="137"/>
      <c r="M74" s="141"/>
      <c r="N74" s="142"/>
      <c r="O74" s="141"/>
      <c r="P74" s="142"/>
      <c r="Q74" s="143"/>
      <c r="R74" s="143"/>
      <c r="S74" s="143"/>
      <c r="T74" s="144"/>
      <c r="U74" s="143"/>
      <c r="V74" s="143"/>
      <c r="W74" s="143"/>
      <c r="X74" s="143"/>
      <c r="Y74" s="145"/>
      <c r="Z74" s="146"/>
      <c r="AA74" s="147"/>
      <c r="AB74" s="147"/>
    </row>
    <row r="75" spans="1:28" s="103" customFormat="1">
      <c r="A75" s="137"/>
      <c r="B75" s="135"/>
      <c r="C75" s="136"/>
      <c r="D75" s="137"/>
      <c r="E75" s="138"/>
      <c r="F75" s="139"/>
      <c r="G75" s="137"/>
      <c r="H75" s="137"/>
      <c r="I75" s="140"/>
      <c r="J75" s="140"/>
      <c r="K75" s="140"/>
      <c r="L75" s="137"/>
      <c r="M75" s="141"/>
      <c r="N75" s="142"/>
      <c r="O75" s="141"/>
      <c r="P75" s="142"/>
      <c r="Q75" s="143"/>
      <c r="R75" s="143"/>
      <c r="S75" s="143"/>
      <c r="T75" s="144"/>
      <c r="U75" s="143"/>
      <c r="V75" s="143"/>
      <c r="W75" s="143"/>
      <c r="X75" s="143"/>
      <c r="Y75" s="145"/>
      <c r="Z75" s="146"/>
      <c r="AA75" s="147"/>
      <c r="AB75" s="147"/>
    </row>
    <row r="76" spans="1:28" s="103" customFormat="1">
      <c r="A76" s="137"/>
      <c r="B76" s="135"/>
      <c r="C76" s="136"/>
      <c r="D76" s="137"/>
      <c r="E76" s="138"/>
      <c r="F76" s="139"/>
      <c r="G76" s="137"/>
      <c r="H76" s="137"/>
      <c r="I76" s="140"/>
      <c r="J76" s="140"/>
      <c r="K76" s="140"/>
      <c r="L76" s="137"/>
      <c r="M76" s="141"/>
      <c r="N76" s="142"/>
      <c r="O76" s="141"/>
      <c r="P76" s="142"/>
      <c r="Q76" s="143"/>
      <c r="R76" s="143"/>
      <c r="S76" s="143"/>
      <c r="T76" s="144"/>
      <c r="U76" s="143"/>
      <c r="V76" s="143"/>
      <c r="W76" s="143"/>
      <c r="X76" s="143"/>
      <c r="Y76" s="145"/>
      <c r="Z76" s="146"/>
      <c r="AA76" s="147"/>
      <c r="AB76" s="147"/>
    </row>
    <row r="77" spans="1:28" s="103" customFormat="1">
      <c r="A77" s="137"/>
      <c r="B77" s="135"/>
      <c r="C77" s="136"/>
      <c r="D77" s="137"/>
      <c r="E77" s="138"/>
      <c r="F77" s="139"/>
      <c r="G77" s="137"/>
      <c r="H77" s="137"/>
      <c r="I77" s="140"/>
      <c r="J77" s="140"/>
      <c r="K77" s="140"/>
      <c r="L77" s="137"/>
      <c r="M77" s="141"/>
      <c r="N77" s="142"/>
      <c r="O77" s="141"/>
      <c r="P77" s="142"/>
      <c r="Q77" s="143"/>
      <c r="R77" s="143"/>
      <c r="S77" s="143"/>
      <c r="T77" s="144"/>
      <c r="U77" s="143"/>
      <c r="V77" s="143"/>
      <c r="W77" s="143"/>
      <c r="X77" s="143"/>
      <c r="Y77" s="145"/>
      <c r="Z77" s="146"/>
      <c r="AA77" s="147"/>
      <c r="AB77" s="147"/>
    </row>
    <row r="78" spans="1:28" s="103" customFormat="1">
      <c r="A78" s="137"/>
      <c r="B78" s="135"/>
      <c r="C78" s="136"/>
      <c r="D78" s="137"/>
      <c r="E78" s="138"/>
      <c r="F78" s="139"/>
      <c r="G78" s="137"/>
      <c r="H78" s="137"/>
      <c r="I78" s="140"/>
      <c r="J78" s="140"/>
      <c r="K78" s="140"/>
      <c r="L78" s="137"/>
      <c r="M78" s="141"/>
      <c r="N78" s="142"/>
      <c r="O78" s="141"/>
      <c r="P78" s="142"/>
      <c r="Q78" s="143"/>
      <c r="R78" s="143"/>
      <c r="S78" s="143"/>
      <c r="T78" s="144"/>
      <c r="U78" s="143"/>
      <c r="V78" s="143"/>
      <c r="W78" s="143"/>
      <c r="X78" s="143"/>
      <c r="Y78" s="145"/>
      <c r="Z78" s="146"/>
      <c r="AA78" s="147"/>
      <c r="AB78" s="147"/>
    </row>
    <row r="79" spans="1:28" s="103" customFormat="1">
      <c r="A79" s="137"/>
      <c r="B79" s="135"/>
      <c r="C79" s="136"/>
      <c r="D79" s="137"/>
      <c r="E79" s="138"/>
      <c r="F79" s="139"/>
      <c r="G79" s="137"/>
      <c r="H79" s="137"/>
      <c r="I79" s="140"/>
      <c r="J79" s="140"/>
      <c r="K79" s="140"/>
      <c r="L79" s="137"/>
      <c r="M79" s="141"/>
      <c r="N79" s="142"/>
      <c r="O79" s="141"/>
      <c r="P79" s="142"/>
      <c r="Q79" s="143"/>
      <c r="R79" s="143"/>
      <c r="S79" s="143"/>
      <c r="T79" s="144"/>
      <c r="U79" s="143"/>
      <c r="V79" s="143"/>
      <c r="W79" s="143"/>
      <c r="X79" s="143"/>
      <c r="Y79" s="145"/>
      <c r="Z79" s="146"/>
      <c r="AA79" s="147"/>
      <c r="AB79" s="147"/>
    </row>
    <row r="80" spans="1:28" s="103" customFormat="1">
      <c r="A80" s="137"/>
      <c r="B80" s="135"/>
      <c r="C80" s="136"/>
      <c r="D80" s="137"/>
      <c r="E80" s="138"/>
      <c r="F80" s="139"/>
      <c r="G80" s="137"/>
      <c r="H80" s="137"/>
      <c r="I80" s="140"/>
      <c r="J80" s="140"/>
      <c r="K80" s="140"/>
      <c r="L80" s="137"/>
      <c r="M80" s="141"/>
      <c r="N80" s="142"/>
      <c r="O80" s="141"/>
      <c r="P80" s="142"/>
      <c r="Q80" s="143"/>
      <c r="R80" s="143"/>
      <c r="S80" s="143"/>
      <c r="T80" s="144"/>
      <c r="U80" s="143"/>
      <c r="V80" s="143"/>
      <c r="W80" s="143"/>
      <c r="X80" s="143"/>
      <c r="Y80" s="145"/>
      <c r="Z80" s="146"/>
      <c r="AA80" s="147"/>
      <c r="AB80" s="147"/>
    </row>
    <row r="81" spans="1:28" s="103" customFormat="1">
      <c r="A81" s="137"/>
      <c r="B81" s="135"/>
      <c r="C81" s="136"/>
      <c r="D81" s="137"/>
      <c r="E81" s="138"/>
      <c r="F81" s="139"/>
      <c r="G81" s="137"/>
      <c r="H81" s="137"/>
      <c r="I81" s="140"/>
      <c r="J81" s="140"/>
      <c r="K81" s="140"/>
      <c r="L81" s="137"/>
      <c r="M81" s="141"/>
      <c r="N81" s="142"/>
      <c r="O81" s="141"/>
      <c r="P81" s="142"/>
      <c r="Q81" s="143"/>
      <c r="R81" s="143"/>
      <c r="S81" s="143"/>
      <c r="T81" s="144"/>
      <c r="U81" s="143"/>
      <c r="V81" s="143"/>
      <c r="W81" s="143"/>
      <c r="X81" s="143"/>
      <c r="Y81" s="145"/>
      <c r="Z81" s="146"/>
      <c r="AA81" s="147"/>
      <c r="AB81" s="147"/>
    </row>
    <row r="82" spans="1:28" s="103" customFormat="1">
      <c r="A82" s="137"/>
      <c r="B82" s="135"/>
      <c r="C82" s="136"/>
      <c r="D82" s="137"/>
      <c r="E82" s="138"/>
      <c r="F82" s="139"/>
      <c r="G82" s="137"/>
      <c r="H82" s="137"/>
      <c r="I82" s="140"/>
      <c r="J82" s="140"/>
      <c r="K82" s="140"/>
      <c r="L82" s="137"/>
      <c r="M82" s="141"/>
      <c r="N82" s="142"/>
      <c r="O82" s="141"/>
      <c r="P82" s="142"/>
      <c r="Q82" s="143"/>
      <c r="R82" s="143"/>
      <c r="S82" s="143"/>
      <c r="T82" s="144"/>
      <c r="U82" s="143"/>
      <c r="V82" s="143"/>
      <c r="W82" s="143"/>
      <c r="X82" s="143"/>
      <c r="Y82" s="145"/>
      <c r="Z82" s="146"/>
      <c r="AA82" s="147"/>
      <c r="AB82" s="147"/>
    </row>
    <row r="83" spans="1:28" s="103" customFormat="1">
      <c r="A83" s="137"/>
      <c r="B83" s="135"/>
      <c r="C83" s="136"/>
      <c r="D83" s="137"/>
      <c r="E83" s="138"/>
      <c r="F83" s="139"/>
      <c r="G83" s="137"/>
      <c r="H83" s="137"/>
      <c r="I83" s="140"/>
      <c r="J83" s="140"/>
      <c r="K83" s="140"/>
      <c r="L83" s="137"/>
      <c r="M83" s="141"/>
      <c r="N83" s="142"/>
      <c r="O83" s="141"/>
      <c r="P83" s="142"/>
      <c r="Q83" s="143"/>
      <c r="R83" s="143"/>
      <c r="S83" s="143"/>
      <c r="T83" s="144"/>
      <c r="U83" s="143"/>
      <c r="V83" s="143"/>
      <c r="W83" s="143"/>
      <c r="X83" s="143"/>
      <c r="Y83" s="145"/>
      <c r="Z83" s="146"/>
      <c r="AA83" s="147"/>
      <c r="AB83" s="147"/>
    </row>
    <row r="84" spans="1:28" s="103" customFormat="1">
      <c r="A84" s="137"/>
      <c r="B84" s="135"/>
      <c r="C84" s="136"/>
      <c r="D84" s="137"/>
      <c r="E84" s="138"/>
      <c r="F84" s="139"/>
      <c r="G84" s="137"/>
      <c r="H84" s="137"/>
      <c r="I84" s="140"/>
      <c r="J84" s="140"/>
      <c r="K84" s="140"/>
      <c r="L84" s="137"/>
      <c r="M84" s="141"/>
      <c r="N84" s="142"/>
      <c r="O84" s="141"/>
      <c r="P84" s="142"/>
      <c r="Q84" s="143"/>
      <c r="R84" s="143"/>
      <c r="S84" s="143"/>
      <c r="T84" s="144"/>
      <c r="U84" s="143"/>
      <c r="V84" s="143"/>
      <c r="W84" s="143"/>
      <c r="X84" s="143"/>
      <c r="Y84" s="145"/>
      <c r="Z84" s="146"/>
      <c r="AA84" s="147"/>
      <c r="AB84" s="147"/>
    </row>
    <row r="85" spans="1:28" s="103" customFormat="1">
      <c r="A85" s="137"/>
      <c r="B85" s="135"/>
      <c r="C85" s="136"/>
      <c r="D85" s="137"/>
      <c r="E85" s="138"/>
      <c r="F85" s="139"/>
      <c r="G85" s="137"/>
      <c r="H85" s="137"/>
      <c r="I85" s="140"/>
      <c r="J85" s="140"/>
      <c r="K85" s="140"/>
      <c r="L85" s="137"/>
      <c r="M85" s="141"/>
      <c r="N85" s="142"/>
      <c r="O85" s="141"/>
      <c r="P85" s="142"/>
      <c r="Q85" s="143"/>
      <c r="R85" s="143"/>
      <c r="S85" s="143"/>
      <c r="T85" s="144"/>
      <c r="U85" s="143"/>
      <c r="V85" s="143"/>
      <c r="W85" s="143"/>
      <c r="X85" s="143"/>
      <c r="Y85" s="145"/>
      <c r="Z85" s="146"/>
      <c r="AA85" s="147"/>
      <c r="AB85" s="147"/>
    </row>
    <row r="86" spans="1:28" s="103" customFormat="1">
      <c r="A86" s="137"/>
      <c r="B86" s="135"/>
      <c r="C86" s="136"/>
      <c r="D86" s="137"/>
      <c r="E86" s="138"/>
      <c r="F86" s="139"/>
      <c r="G86" s="137"/>
      <c r="H86" s="137"/>
      <c r="I86" s="140"/>
      <c r="J86" s="140"/>
      <c r="K86" s="140"/>
      <c r="L86" s="137"/>
      <c r="M86" s="141"/>
      <c r="N86" s="142"/>
      <c r="O86" s="141"/>
      <c r="P86" s="142"/>
      <c r="Q86" s="143"/>
      <c r="R86" s="143"/>
      <c r="S86" s="143"/>
      <c r="T86" s="144"/>
      <c r="U86" s="143"/>
      <c r="V86" s="143"/>
      <c r="W86" s="143"/>
      <c r="X86" s="143"/>
      <c r="Y86" s="145"/>
      <c r="Z86" s="146"/>
      <c r="AA86" s="147"/>
      <c r="AB86" s="147"/>
    </row>
    <row r="87" spans="1:28">
      <c r="A87" s="137"/>
      <c r="B87" s="135"/>
      <c r="C87" s="136"/>
      <c r="D87" s="137"/>
      <c r="E87" s="138"/>
      <c r="F87" s="139"/>
      <c r="G87" s="137"/>
      <c r="H87" s="137"/>
      <c r="I87" s="140"/>
      <c r="J87" s="140"/>
      <c r="K87" s="140"/>
      <c r="L87" s="137"/>
      <c r="M87" s="141"/>
      <c r="N87" s="142"/>
      <c r="O87" s="141"/>
      <c r="P87" s="142"/>
      <c r="Q87" s="143"/>
      <c r="R87" s="143"/>
      <c r="S87" s="143"/>
      <c r="T87" s="144"/>
      <c r="U87" s="143"/>
      <c r="V87" s="143"/>
      <c r="W87" s="143"/>
      <c r="X87" s="143"/>
      <c r="Y87" s="145"/>
      <c r="Z87" s="146"/>
      <c r="AA87" s="147"/>
      <c r="AB87" s="147"/>
    </row>
    <row r="88" spans="1:28">
      <c r="A88" s="137"/>
      <c r="B88" s="135"/>
      <c r="C88" s="136"/>
      <c r="D88" s="137"/>
      <c r="E88" s="138"/>
      <c r="F88" s="139"/>
      <c r="G88" s="137"/>
      <c r="H88" s="137"/>
      <c r="I88" s="140"/>
      <c r="J88" s="140"/>
      <c r="K88" s="140"/>
      <c r="L88" s="137"/>
      <c r="M88" s="141"/>
      <c r="N88" s="142"/>
      <c r="O88" s="141"/>
      <c r="P88" s="142"/>
      <c r="Q88" s="143"/>
      <c r="R88" s="143"/>
      <c r="S88" s="143"/>
      <c r="T88" s="144"/>
      <c r="U88" s="143"/>
      <c r="V88" s="143"/>
      <c r="W88" s="143"/>
      <c r="X88" s="143"/>
      <c r="Y88" s="145"/>
      <c r="Z88" s="146"/>
      <c r="AA88" s="147"/>
      <c r="AB88" s="147"/>
    </row>
    <row r="89" spans="1:28">
      <c r="A89" s="137"/>
      <c r="B89" s="135"/>
      <c r="C89" s="136"/>
      <c r="D89" s="137"/>
      <c r="E89" s="138"/>
      <c r="F89" s="139"/>
      <c r="G89" s="137"/>
      <c r="H89" s="137"/>
      <c r="I89" s="140"/>
      <c r="J89" s="140"/>
      <c r="K89" s="140"/>
      <c r="L89" s="137"/>
      <c r="M89" s="141"/>
      <c r="N89" s="142"/>
      <c r="O89" s="141"/>
      <c r="P89" s="142"/>
      <c r="Q89" s="143"/>
      <c r="R89" s="143"/>
      <c r="S89" s="143"/>
      <c r="T89" s="144"/>
      <c r="U89" s="143"/>
      <c r="V89" s="143"/>
      <c r="W89" s="143"/>
      <c r="X89" s="143"/>
      <c r="Y89" s="145"/>
      <c r="Z89" s="146"/>
      <c r="AA89" s="147"/>
      <c r="AB89" s="147"/>
    </row>
    <row r="90" spans="1:28">
      <c r="A90" s="137"/>
      <c r="B90" s="135"/>
      <c r="C90" s="136"/>
      <c r="D90" s="137"/>
      <c r="E90" s="138"/>
      <c r="F90" s="139"/>
      <c r="G90" s="137"/>
      <c r="H90" s="137"/>
      <c r="I90" s="140"/>
      <c r="J90" s="140"/>
      <c r="K90" s="140"/>
      <c r="L90" s="137"/>
      <c r="M90" s="141"/>
      <c r="N90" s="142"/>
      <c r="O90" s="141"/>
      <c r="P90" s="142"/>
      <c r="Q90" s="143"/>
      <c r="R90" s="143"/>
      <c r="S90" s="143"/>
      <c r="T90" s="144"/>
      <c r="U90" s="143"/>
      <c r="V90" s="143"/>
      <c r="W90" s="143"/>
      <c r="X90" s="143"/>
      <c r="Y90" s="145"/>
      <c r="Z90" s="146"/>
      <c r="AA90" s="147"/>
      <c r="AB90" s="147"/>
    </row>
    <row r="91" spans="1:28">
      <c r="A91" s="137"/>
      <c r="B91" s="135"/>
      <c r="C91" s="136"/>
      <c r="D91" s="137"/>
      <c r="E91" s="138"/>
      <c r="F91" s="139"/>
      <c r="G91" s="137"/>
      <c r="H91" s="137"/>
      <c r="I91" s="140"/>
      <c r="J91" s="140"/>
      <c r="K91" s="140"/>
      <c r="L91" s="137"/>
      <c r="M91" s="141"/>
      <c r="N91" s="142"/>
      <c r="O91" s="141"/>
      <c r="P91" s="142"/>
      <c r="Q91" s="143"/>
      <c r="R91" s="143"/>
      <c r="S91" s="143"/>
      <c r="T91" s="144"/>
      <c r="U91" s="143"/>
      <c r="V91" s="143"/>
      <c r="W91" s="143"/>
      <c r="X91" s="143"/>
      <c r="Y91" s="145"/>
      <c r="Z91" s="146"/>
      <c r="AA91" s="147"/>
      <c r="AB91" s="147"/>
    </row>
    <row r="92" spans="1:28">
      <c r="A92" s="137"/>
      <c r="B92" s="135"/>
      <c r="C92" s="136"/>
      <c r="D92" s="137"/>
      <c r="E92" s="138"/>
      <c r="F92" s="139"/>
      <c r="G92" s="137"/>
      <c r="H92" s="137"/>
      <c r="I92" s="140"/>
      <c r="J92" s="140"/>
      <c r="K92" s="140"/>
      <c r="L92" s="137"/>
      <c r="M92" s="141"/>
      <c r="N92" s="142"/>
      <c r="O92" s="141"/>
      <c r="P92" s="142"/>
      <c r="Q92" s="143"/>
      <c r="R92" s="143"/>
      <c r="S92" s="143"/>
      <c r="T92" s="144"/>
      <c r="U92" s="143"/>
      <c r="V92" s="143"/>
      <c r="W92" s="143"/>
      <c r="X92" s="143"/>
      <c r="Y92" s="145"/>
      <c r="Z92" s="146"/>
      <c r="AA92" s="147"/>
      <c r="AB92" s="147"/>
    </row>
    <row r="93" spans="1:28">
      <c r="A93" s="137"/>
      <c r="B93" s="135"/>
      <c r="C93" s="136"/>
      <c r="D93" s="137"/>
      <c r="E93" s="138"/>
      <c r="F93" s="139"/>
      <c r="G93" s="137"/>
      <c r="H93" s="137"/>
      <c r="I93" s="140"/>
      <c r="J93" s="140"/>
      <c r="K93" s="140"/>
      <c r="L93" s="137"/>
      <c r="M93" s="141"/>
      <c r="N93" s="142"/>
      <c r="O93" s="141"/>
      <c r="P93" s="142"/>
      <c r="Q93" s="143"/>
      <c r="R93" s="143"/>
      <c r="S93" s="143"/>
      <c r="T93" s="144"/>
      <c r="U93" s="143"/>
      <c r="V93" s="143"/>
      <c r="W93" s="143"/>
      <c r="X93" s="143"/>
      <c r="Y93" s="145"/>
      <c r="Z93" s="146"/>
      <c r="AA93" s="147"/>
      <c r="AB93" s="147"/>
    </row>
    <row r="94" spans="1:28">
      <c r="A94" s="137"/>
      <c r="B94" s="135"/>
      <c r="C94" s="136"/>
      <c r="D94" s="137"/>
      <c r="E94" s="138"/>
      <c r="F94" s="139"/>
      <c r="G94" s="137"/>
      <c r="H94" s="137"/>
      <c r="I94" s="140"/>
      <c r="J94" s="140"/>
      <c r="K94" s="140"/>
      <c r="L94" s="137"/>
      <c r="M94" s="141"/>
      <c r="N94" s="142"/>
      <c r="O94" s="141"/>
      <c r="P94" s="142"/>
      <c r="Q94" s="143"/>
      <c r="R94" s="143"/>
      <c r="S94" s="143"/>
      <c r="T94" s="144"/>
      <c r="U94" s="143"/>
      <c r="V94" s="143"/>
      <c r="W94" s="143"/>
      <c r="X94" s="143"/>
      <c r="Y94" s="145"/>
      <c r="Z94" s="146"/>
      <c r="AA94" s="147"/>
      <c r="AB94" s="147"/>
    </row>
    <row r="95" spans="1:28">
      <c r="A95" s="137"/>
      <c r="B95" s="135"/>
      <c r="C95" s="136"/>
      <c r="D95" s="137"/>
      <c r="E95" s="138"/>
      <c r="F95" s="139"/>
      <c r="G95" s="137"/>
      <c r="H95" s="137"/>
      <c r="I95" s="140"/>
      <c r="J95" s="140"/>
      <c r="K95" s="140"/>
      <c r="L95" s="137"/>
      <c r="M95" s="141"/>
      <c r="N95" s="142"/>
      <c r="O95" s="141"/>
      <c r="P95" s="142"/>
      <c r="Q95" s="143"/>
      <c r="R95" s="143"/>
      <c r="S95" s="143"/>
      <c r="T95" s="144"/>
      <c r="U95" s="143"/>
      <c r="V95" s="143"/>
      <c r="W95" s="143"/>
      <c r="X95" s="143"/>
      <c r="Y95" s="145"/>
      <c r="Z95" s="146"/>
      <c r="AA95" s="147"/>
      <c r="AB95" s="147"/>
    </row>
    <row r="96" spans="1:28">
      <c r="A96" s="137"/>
      <c r="B96" s="135"/>
      <c r="C96" s="136"/>
      <c r="D96" s="137"/>
      <c r="E96" s="138"/>
      <c r="F96" s="139"/>
      <c r="G96" s="137"/>
      <c r="H96" s="137"/>
      <c r="I96" s="140"/>
      <c r="J96" s="140"/>
      <c r="K96" s="140"/>
      <c r="L96" s="137"/>
      <c r="M96" s="141"/>
      <c r="N96" s="142"/>
      <c r="O96" s="141"/>
      <c r="P96" s="142"/>
      <c r="Q96" s="143"/>
      <c r="R96" s="143"/>
      <c r="S96" s="143"/>
      <c r="T96" s="144"/>
      <c r="U96" s="143"/>
      <c r="V96" s="143"/>
      <c r="W96" s="143"/>
      <c r="X96" s="143"/>
      <c r="Y96" s="145"/>
      <c r="Z96" s="146"/>
      <c r="AA96" s="147"/>
      <c r="AB96" s="147"/>
    </row>
    <row r="97" spans="1:28">
      <c r="A97" s="137"/>
      <c r="B97" s="135"/>
      <c r="C97" s="136"/>
      <c r="D97" s="137"/>
      <c r="E97" s="138"/>
      <c r="F97" s="139"/>
      <c r="G97" s="137"/>
      <c r="H97" s="137"/>
      <c r="I97" s="140"/>
      <c r="J97" s="140"/>
      <c r="K97" s="140"/>
      <c r="L97" s="137"/>
      <c r="M97" s="141"/>
      <c r="N97" s="142"/>
      <c r="O97" s="141"/>
      <c r="P97" s="142"/>
      <c r="Q97" s="143"/>
      <c r="R97" s="143"/>
      <c r="S97" s="143"/>
      <c r="T97" s="144"/>
      <c r="U97" s="143"/>
      <c r="V97" s="143"/>
      <c r="W97" s="143"/>
      <c r="X97" s="143"/>
      <c r="Y97" s="145"/>
      <c r="Z97" s="146"/>
      <c r="AA97" s="147"/>
      <c r="AB97" s="147"/>
    </row>
    <row r="98" spans="1:28">
      <c r="A98" s="137"/>
      <c r="B98" s="135"/>
      <c r="C98" s="136"/>
      <c r="D98" s="137"/>
      <c r="E98" s="138"/>
      <c r="F98" s="139"/>
      <c r="G98" s="137"/>
      <c r="H98" s="137"/>
      <c r="I98" s="140"/>
      <c r="J98" s="140"/>
      <c r="K98" s="140"/>
      <c r="L98" s="137"/>
      <c r="M98" s="141"/>
      <c r="N98" s="142"/>
      <c r="O98" s="141"/>
      <c r="P98" s="142"/>
      <c r="Q98" s="143"/>
      <c r="R98" s="143"/>
      <c r="S98" s="143"/>
      <c r="T98" s="144"/>
      <c r="U98" s="143"/>
      <c r="V98" s="143"/>
      <c r="W98" s="143"/>
      <c r="X98" s="143"/>
      <c r="Y98" s="145"/>
      <c r="Z98" s="146"/>
      <c r="AA98" s="147"/>
      <c r="AB98" s="147"/>
    </row>
    <row r="99" spans="1:28">
      <c r="A99" s="137"/>
      <c r="B99" s="135"/>
      <c r="C99" s="136"/>
      <c r="D99" s="137"/>
      <c r="E99" s="138"/>
      <c r="F99" s="139"/>
      <c r="G99" s="137"/>
      <c r="H99" s="137"/>
      <c r="I99" s="140"/>
      <c r="J99" s="140"/>
      <c r="K99" s="140"/>
      <c r="L99" s="137"/>
      <c r="M99" s="141"/>
      <c r="N99" s="142"/>
      <c r="O99" s="141"/>
      <c r="P99" s="142"/>
      <c r="Q99" s="143"/>
      <c r="R99" s="143"/>
      <c r="S99" s="143"/>
      <c r="T99" s="144"/>
      <c r="U99" s="143"/>
      <c r="V99" s="143"/>
      <c r="W99" s="143"/>
      <c r="X99" s="143"/>
      <c r="Y99" s="145"/>
      <c r="Z99" s="146"/>
      <c r="AA99" s="147"/>
      <c r="AB99" s="147"/>
    </row>
    <row r="100" spans="1:28">
      <c r="A100" s="137"/>
      <c r="B100" s="135"/>
      <c r="C100" s="136"/>
      <c r="D100" s="137"/>
      <c r="E100" s="138"/>
      <c r="F100" s="139"/>
      <c r="G100" s="137"/>
      <c r="H100" s="137"/>
      <c r="I100" s="140"/>
      <c r="J100" s="140"/>
      <c r="K100" s="140"/>
      <c r="L100" s="137"/>
      <c r="M100" s="141"/>
      <c r="N100" s="142"/>
      <c r="O100" s="141"/>
      <c r="P100" s="142"/>
      <c r="Q100" s="143"/>
      <c r="R100" s="143"/>
      <c r="S100" s="143"/>
      <c r="T100" s="144"/>
      <c r="U100" s="143"/>
      <c r="V100" s="143"/>
      <c r="W100" s="143"/>
      <c r="X100" s="143"/>
      <c r="Y100" s="145"/>
      <c r="Z100" s="146"/>
      <c r="AA100" s="147"/>
      <c r="AB100" s="147"/>
    </row>
    <row r="101" spans="1:28">
      <c r="A101" s="137"/>
      <c r="B101" s="135"/>
      <c r="C101" s="136"/>
      <c r="D101" s="137"/>
      <c r="E101" s="138"/>
      <c r="F101" s="139"/>
      <c r="G101" s="137"/>
      <c r="H101" s="137"/>
      <c r="I101" s="140"/>
      <c r="J101" s="140"/>
      <c r="K101" s="140"/>
      <c r="L101" s="137"/>
      <c r="M101" s="141"/>
      <c r="N101" s="142"/>
      <c r="O101" s="141"/>
      <c r="P101" s="142"/>
      <c r="Q101" s="143"/>
      <c r="R101" s="143"/>
      <c r="S101" s="143"/>
      <c r="T101" s="144"/>
      <c r="U101" s="143"/>
      <c r="V101" s="143"/>
      <c r="W101" s="143"/>
      <c r="X101" s="143"/>
      <c r="Y101" s="145"/>
      <c r="Z101" s="146"/>
      <c r="AA101" s="147"/>
      <c r="AB101" s="147"/>
    </row>
    <row r="102" spans="1:28">
      <c r="A102" s="137"/>
      <c r="B102" s="135"/>
      <c r="C102" s="136"/>
      <c r="D102" s="137"/>
      <c r="E102" s="138"/>
      <c r="F102" s="139"/>
      <c r="G102" s="137"/>
      <c r="H102" s="137"/>
      <c r="I102" s="140"/>
      <c r="J102" s="140"/>
      <c r="K102" s="140"/>
      <c r="L102" s="137"/>
      <c r="M102" s="141"/>
      <c r="N102" s="142"/>
      <c r="O102" s="141"/>
      <c r="P102" s="142"/>
      <c r="Q102" s="143"/>
      <c r="R102" s="143"/>
      <c r="S102" s="143"/>
      <c r="T102" s="144"/>
      <c r="U102" s="143"/>
      <c r="V102" s="143"/>
      <c r="W102" s="143"/>
      <c r="X102" s="143"/>
      <c r="Y102" s="145"/>
      <c r="Z102" s="146"/>
      <c r="AA102" s="147"/>
      <c r="AB102" s="147"/>
    </row>
    <row r="103" spans="1:28">
      <c r="A103" s="137"/>
      <c r="B103" s="135"/>
      <c r="C103" s="136"/>
      <c r="D103" s="137"/>
      <c r="E103" s="138"/>
      <c r="F103" s="139"/>
      <c r="G103" s="137"/>
      <c r="H103" s="137"/>
      <c r="I103" s="140"/>
      <c r="J103" s="140"/>
      <c r="K103" s="140"/>
      <c r="L103" s="137"/>
      <c r="M103" s="141"/>
      <c r="N103" s="142"/>
      <c r="O103" s="141"/>
      <c r="P103" s="142"/>
      <c r="Q103" s="143"/>
      <c r="R103" s="143"/>
      <c r="S103" s="143"/>
      <c r="T103" s="144"/>
      <c r="U103" s="143"/>
      <c r="V103" s="143"/>
      <c r="W103" s="143"/>
      <c r="X103" s="143"/>
      <c r="Y103" s="145"/>
      <c r="Z103" s="146"/>
      <c r="AA103" s="147"/>
      <c r="AB103" s="147"/>
    </row>
    <row r="104" spans="1:28">
      <c r="A104" s="137"/>
      <c r="B104" s="135"/>
      <c r="C104" s="136"/>
      <c r="D104" s="137"/>
      <c r="E104" s="138"/>
      <c r="F104" s="139"/>
      <c r="G104" s="137"/>
      <c r="H104" s="137"/>
      <c r="I104" s="140"/>
      <c r="J104" s="140"/>
      <c r="K104" s="140"/>
      <c r="L104" s="137"/>
      <c r="M104" s="141"/>
      <c r="N104" s="142"/>
      <c r="O104" s="141"/>
      <c r="P104" s="142"/>
      <c r="Q104" s="143"/>
      <c r="R104" s="143"/>
      <c r="S104" s="143"/>
      <c r="T104" s="144"/>
      <c r="U104" s="143"/>
      <c r="V104" s="143"/>
      <c r="W104" s="143"/>
      <c r="X104" s="143"/>
      <c r="Y104" s="145"/>
      <c r="Z104" s="146"/>
      <c r="AA104" s="147"/>
      <c r="AB104" s="147"/>
    </row>
    <row r="105" spans="1:28">
      <c r="A105" s="137"/>
      <c r="B105" s="135"/>
      <c r="C105" s="136"/>
      <c r="D105" s="137"/>
      <c r="E105" s="138"/>
      <c r="F105" s="139"/>
      <c r="G105" s="137"/>
      <c r="H105" s="137"/>
      <c r="I105" s="140"/>
      <c r="J105" s="140"/>
      <c r="K105" s="140"/>
      <c r="L105" s="137"/>
      <c r="M105" s="141"/>
      <c r="N105" s="142"/>
      <c r="O105" s="141"/>
      <c r="P105" s="142"/>
      <c r="Q105" s="143"/>
      <c r="R105" s="143"/>
      <c r="S105" s="143"/>
      <c r="T105" s="144"/>
      <c r="U105" s="143"/>
      <c r="V105" s="143"/>
      <c r="W105" s="143"/>
      <c r="X105" s="143"/>
      <c r="Y105" s="145"/>
      <c r="Z105" s="146"/>
      <c r="AA105" s="147"/>
      <c r="AB105" s="147"/>
    </row>
    <row r="106" spans="1:28">
      <c r="A106" s="137"/>
      <c r="B106" s="135"/>
      <c r="C106" s="136"/>
      <c r="D106" s="137"/>
      <c r="E106" s="138"/>
      <c r="F106" s="139"/>
      <c r="G106" s="137"/>
      <c r="H106" s="137"/>
      <c r="I106" s="140"/>
      <c r="J106" s="140"/>
      <c r="K106" s="140"/>
      <c r="L106" s="137"/>
      <c r="M106" s="141"/>
      <c r="N106" s="142"/>
      <c r="O106" s="141"/>
      <c r="P106" s="142"/>
      <c r="Q106" s="143"/>
      <c r="R106" s="143"/>
      <c r="S106" s="143"/>
      <c r="T106" s="144"/>
      <c r="U106" s="143"/>
      <c r="V106" s="143"/>
      <c r="W106" s="143"/>
      <c r="X106" s="143"/>
      <c r="Y106" s="145"/>
      <c r="Z106" s="146"/>
      <c r="AA106" s="147"/>
      <c r="AB106" s="147"/>
    </row>
    <row r="107" spans="1:28">
      <c r="A107" s="137"/>
      <c r="B107" s="135"/>
      <c r="C107" s="136"/>
      <c r="D107" s="137"/>
      <c r="E107" s="138"/>
      <c r="F107" s="139"/>
      <c r="G107" s="137"/>
      <c r="H107" s="137"/>
      <c r="I107" s="140"/>
      <c r="J107" s="140"/>
      <c r="K107" s="140"/>
      <c r="L107" s="137"/>
      <c r="M107" s="141"/>
      <c r="N107" s="142"/>
      <c r="O107" s="141"/>
      <c r="P107" s="142"/>
      <c r="Q107" s="143"/>
      <c r="R107" s="143"/>
      <c r="S107" s="143"/>
      <c r="T107" s="144"/>
      <c r="U107" s="143"/>
      <c r="V107" s="143"/>
      <c r="W107" s="143"/>
      <c r="X107" s="143"/>
      <c r="Y107" s="145"/>
      <c r="Z107" s="146"/>
      <c r="AA107" s="147"/>
      <c r="AB107" s="147"/>
    </row>
    <row r="108" spans="1:28">
      <c r="A108" s="137"/>
      <c r="B108" s="135"/>
      <c r="C108" s="136"/>
      <c r="D108" s="137"/>
      <c r="E108" s="138"/>
      <c r="F108" s="139"/>
      <c r="G108" s="137"/>
      <c r="H108" s="137"/>
      <c r="I108" s="140"/>
      <c r="J108" s="140"/>
      <c r="K108" s="140"/>
      <c r="L108" s="137"/>
      <c r="M108" s="141"/>
      <c r="N108" s="142"/>
      <c r="O108" s="141"/>
      <c r="P108" s="142"/>
      <c r="Q108" s="143"/>
      <c r="R108" s="143"/>
      <c r="S108" s="143"/>
      <c r="T108" s="144"/>
      <c r="U108" s="143"/>
      <c r="V108" s="143"/>
      <c r="W108" s="143"/>
      <c r="X108" s="143"/>
      <c r="Y108" s="145"/>
      <c r="Z108" s="146"/>
      <c r="AA108" s="147"/>
      <c r="AB108" s="147"/>
    </row>
    <row r="109" spans="1:28">
      <c r="A109" s="137"/>
      <c r="B109" s="135"/>
      <c r="C109" s="136"/>
      <c r="D109" s="137"/>
      <c r="E109" s="138"/>
      <c r="F109" s="139"/>
      <c r="G109" s="137"/>
      <c r="H109" s="137"/>
      <c r="I109" s="140"/>
      <c r="J109" s="140"/>
      <c r="K109" s="140"/>
      <c r="L109" s="137"/>
      <c r="M109" s="141"/>
      <c r="N109" s="142"/>
      <c r="O109" s="141"/>
      <c r="P109" s="142"/>
      <c r="Q109" s="143"/>
      <c r="R109" s="143"/>
      <c r="S109" s="143"/>
      <c r="T109" s="144"/>
      <c r="U109" s="143"/>
      <c r="V109" s="143"/>
      <c r="W109" s="143"/>
      <c r="X109" s="143"/>
      <c r="Y109" s="145"/>
      <c r="Z109" s="146"/>
      <c r="AA109" s="147"/>
      <c r="AB109" s="147"/>
    </row>
    <row r="110" spans="1:28">
      <c r="A110" s="137"/>
      <c r="B110" s="135"/>
      <c r="C110" s="136"/>
      <c r="D110" s="137"/>
      <c r="E110" s="138"/>
      <c r="F110" s="139"/>
      <c r="G110" s="137"/>
      <c r="H110" s="137"/>
      <c r="I110" s="140"/>
      <c r="J110" s="140"/>
      <c r="K110" s="140"/>
      <c r="L110" s="137"/>
      <c r="M110" s="141"/>
      <c r="N110" s="142"/>
      <c r="O110" s="141"/>
      <c r="P110" s="142"/>
      <c r="Q110" s="143"/>
      <c r="R110" s="143"/>
      <c r="S110" s="143"/>
      <c r="T110" s="144"/>
      <c r="U110" s="143"/>
      <c r="V110" s="143"/>
      <c r="W110" s="143"/>
      <c r="X110" s="143"/>
      <c r="Y110" s="145"/>
      <c r="Z110" s="146"/>
      <c r="AA110" s="147"/>
      <c r="AB110" s="147"/>
    </row>
    <row r="111" spans="1:28">
      <c r="A111" s="137"/>
      <c r="B111" s="135"/>
      <c r="C111" s="136"/>
      <c r="D111" s="137"/>
      <c r="E111" s="138"/>
      <c r="F111" s="139"/>
      <c r="G111" s="137"/>
      <c r="H111" s="137"/>
      <c r="I111" s="140"/>
      <c r="J111" s="140"/>
      <c r="K111" s="140"/>
      <c r="L111" s="137"/>
      <c r="M111" s="141"/>
      <c r="N111" s="142"/>
      <c r="O111" s="141"/>
      <c r="P111" s="142"/>
      <c r="Q111" s="143"/>
      <c r="R111" s="143"/>
      <c r="S111" s="143"/>
      <c r="T111" s="144"/>
      <c r="U111" s="143"/>
      <c r="V111" s="143"/>
      <c r="W111" s="143"/>
      <c r="X111" s="143"/>
      <c r="Y111" s="145"/>
      <c r="Z111" s="146"/>
      <c r="AA111" s="147"/>
      <c r="AB111" s="147"/>
    </row>
    <row r="112" spans="1:28">
      <c r="A112" s="137"/>
      <c r="B112" s="135"/>
      <c r="C112" s="136"/>
      <c r="D112" s="137"/>
      <c r="E112" s="138"/>
      <c r="F112" s="139"/>
      <c r="G112" s="137"/>
      <c r="H112" s="137"/>
      <c r="I112" s="140"/>
      <c r="J112" s="140"/>
      <c r="K112" s="140"/>
      <c r="L112" s="137"/>
      <c r="M112" s="141"/>
      <c r="N112" s="142"/>
      <c r="O112" s="141"/>
      <c r="P112" s="142"/>
      <c r="Q112" s="143"/>
      <c r="R112" s="143"/>
      <c r="S112" s="143"/>
      <c r="T112" s="144"/>
      <c r="U112" s="143"/>
      <c r="V112" s="143"/>
      <c r="W112" s="143"/>
      <c r="X112" s="143"/>
      <c r="Y112" s="145"/>
      <c r="Z112" s="146"/>
      <c r="AA112" s="147"/>
      <c r="AB112" s="147"/>
    </row>
    <row r="113" spans="1:28">
      <c r="A113" s="137"/>
      <c r="B113" s="135"/>
      <c r="C113" s="136"/>
      <c r="D113" s="137"/>
      <c r="E113" s="138"/>
      <c r="F113" s="139"/>
      <c r="G113" s="137"/>
      <c r="H113" s="137"/>
      <c r="I113" s="140"/>
      <c r="J113" s="140"/>
      <c r="K113" s="140"/>
      <c r="L113" s="137"/>
      <c r="M113" s="141"/>
      <c r="N113" s="142"/>
      <c r="O113" s="141"/>
      <c r="P113" s="142"/>
      <c r="Q113" s="143"/>
      <c r="R113" s="143"/>
      <c r="S113" s="143"/>
      <c r="T113" s="144"/>
      <c r="U113" s="143"/>
      <c r="V113" s="143"/>
      <c r="W113" s="143"/>
      <c r="X113" s="143"/>
      <c r="Y113" s="145"/>
      <c r="Z113" s="146"/>
      <c r="AA113" s="147"/>
      <c r="AB113" s="147"/>
    </row>
    <row r="114" spans="1:28">
      <c r="A114" s="137"/>
      <c r="B114" s="135"/>
      <c r="C114" s="136"/>
      <c r="D114" s="137"/>
      <c r="E114" s="138"/>
      <c r="F114" s="139"/>
      <c r="G114" s="137"/>
      <c r="H114" s="137"/>
      <c r="I114" s="140"/>
      <c r="J114" s="140"/>
      <c r="K114" s="140"/>
      <c r="L114" s="137"/>
      <c r="M114" s="141"/>
      <c r="N114" s="142"/>
      <c r="O114" s="141"/>
      <c r="P114" s="142"/>
      <c r="Q114" s="143"/>
      <c r="R114" s="143"/>
      <c r="S114" s="143"/>
      <c r="T114" s="144"/>
      <c r="U114" s="143"/>
      <c r="V114" s="143"/>
      <c r="W114" s="143"/>
      <c r="X114" s="143"/>
      <c r="Y114" s="145"/>
      <c r="Z114" s="146"/>
      <c r="AA114" s="147"/>
      <c r="AB114" s="147"/>
    </row>
    <row r="115" spans="1:28">
      <c r="A115" s="137"/>
      <c r="B115" s="135"/>
      <c r="C115" s="136"/>
      <c r="D115" s="137"/>
      <c r="E115" s="138"/>
      <c r="F115" s="139"/>
      <c r="G115" s="137"/>
      <c r="H115" s="137"/>
      <c r="I115" s="140"/>
      <c r="J115" s="140"/>
      <c r="K115" s="140"/>
      <c r="L115" s="137"/>
      <c r="M115" s="141"/>
      <c r="N115" s="142"/>
      <c r="O115" s="141"/>
      <c r="P115" s="142"/>
      <c r="Q115" s="143"/>
      <c r="R115" s="143"/>
      <c r="S115" s="143"/>
      <c r="T115" s="144"/>
      <c r="U115" s="143"/>
      <c r="V115" s="143"/>
      <c r="W115" s="143"/>
      <c r="X115" s="143"/>
      <c r="Y115" s="145"/>
      <c r="Z115" s="146"/>
      <c r="AA115" s="147"/>
      <c r="AB115" s="147"/>
    </row>
    <row r="116" spans="1:28">
      <c r="A116" s="137"/>
      <c r="B116" s="135"/>
      <c r="C116" s="136"/>
      <c r="D116" s="137"/>
      <c r="E116" s="138"/>
      <c r="F116" s="139"/>
      <c r="G116" s="137"/>
      <c r="H116" s="137"/>
      <c r="I116" s="140"/>
      <c r="J116" s="140"/>
      <c r="K116" s="140"/>
      <c r="L116" s="137"/>
      <c r="M116" s="141"/>
      <c r="N116" s="142"/>
      <c r="O116" s="141"/>
      <c r="P116" s="142"/>
      <c r="Q116" s="143"/>
      <c r="R116" s="143"/>
      <c r="S116" s="143"/>
      <c r="T116" s="144"/>
      <c r="U116" s="143"/>
      <c r="V116" s="143"/>
      <c r="W116" s="143"/>
      <c r="X116" s="143"/>
      <c r="Y116" s="145"/>
      <c r="Z116" s="146"/>
      <c r="AA116" s="147"/>
      <c r="AB116" s="147"/>
    </row>
    <row r="117" spans="1:28">
      <c r="A117" s="137"/>
      <c r="B117" s="135"/>
      <c r="C117" s="136"/>
      <c r="D117" s="137"/>
      <c r="E117" s="138"/>
      <c r="F117" s="139"/>
      <c r="G117" s="137"/>
      <c r="H117" s="137"/>
      <c r="I117" s="140"/>
      <c r="J117" s="137"/>
      <c r="K117" s="137"/>
      <c r="L117" s="137"/>
      <c r="M117" s="141"/>
      <c r="N117" s="142"/>
      <c r="O117" s="141"/>
      <c r="P117" s="142"/>
      <c r="Q117" s="143"/>
      <c r="R117" s="143"/>
      <c r="S117" s="143"/>
      <c r="T117" s="144"/>
      <c r="U117" s="143"/>
      <c r="V117" s="143"/>
      <c r="W117" s="143"/>
      <c r="X117" s="143"/>
      <c r="Y117" s="145" t="e">
        <f>VLOOKUP(#REF!,#REF!,18,FALSE)</f>
        <v>#REF!</v>
      </c>
      <c r="Z117" s="146"/>
      <c r="AA117" s="147"/>
      <c r="AB117" s="147"/>
    </row>
    <row r="118" spans="1:28">
      <c r="A118" s="137"/>
      <c r="B118" s="135"/>
      <c r="C118" s="136"/>
      <c r="D118" s="137"/>
      <c r="E118" s="138"/>
      <c r="F118" s="139"/>
      <c r="G118" s="137"/>
      <c r="H118" s="137"/>
      <c r="I118" s="140"/>
      <c r="J118" s="137"/>
      <c r="K118" s="137"/>
      <c r="L118" s="137"/>
      <c r="M118" s="141"/>
      <c r="N118" s="142"/>
      <c r="O118" s="141"/>
      <c r="P118" s="142"/>
      <c r="Q118" s="143"/>
      <c r="R118" s="143"/>
      <c r="S118" s="143"/>
      <c r="T118" s="144"/>
      <c r="U118" s="143"/>
      <c r="V118" s="143"/>
      <c r="W118" s="143"/>
      <c r="X118" s="143"/>
      <c r="Y118" s="145" t="e">
        <f>VLOOKUP(#REF!,#REF!,18,FALSE)</f>
        <v>#REF!</v>
      </c>
      <c r="Z118" s="146"/>
      <c r="AA118" s="147"/>
      <c r="AB118" s="147"/>
    </row>
    <row r="119" spans="1:28">
      <c r="A119" s="137"/>
      <c r="B119" s="135"/>
      <c r="C119" s="136"/>
      <c r="D119" s="137"/>
      <c r="E119" s="138"/>
      <c r="F119" s="139"/>
      <c r="G119" s="137"/>
      <c r="H119" s="137"/>
      <c r="I119" s="140"/>
      <c r="J119" s="137"/>
      <c r="K119" s="137"/>
      <c r="L119" s="137"/>
      <c r="M119" s="141"/>
      <c r="N119" s="142"/>
      <c r="O119" s="141"/>
      <c r="P119" s="142"/>
      <c r="Q119" s="143"/>
      <c r="R119" s="143"/>
      <c r="S119" s="143"/>
      <c r="T119" s="144"/>
      <c r="U119" s="143"/>
      <c r="V119" s="143"/>
      <c r="W119" s="143"/>
      <c r="X119" s="143"/>
      <c r="Y119" s="145" t="e">
        <f>VLOOKUP(#REF!,#REF!,18,FALSE)</f>
        <v>#REF!</v>
      </c>
      <c r="Z119" s="146"/>
      <c r="AA119" s="147"/>
      <c r="AB119" s="147"/>
    </row>
    <row r="120" spans="1:28">
      <c r="A120" s="137"/>
      <c r="B120" s="135"/>
      <c r="C120" s="136"/>
      <c r="D120" s="137"/>
      <c r="E120" s="138"/>
      <c r="F120" s="139"/>
      <c r="G120" s="137"/>
      <c r="H120" s="137"/>
      <c r="I120" s="140"/>
      <c r="J120" s="137"/>
      <c r="K120" s="137"/>
      <c r="L120" s="137"/>
      <c r="M120" s="141"/>
      <c r="N120" s="142"/>
      <c r="O120" s="141"/>
      <c r="P120" s="142"/>
      <c r="Q120" s="143"/>
      <c r="R120" s="143"/>
      <c r="S120" s="143"/>
      <c r="T120" s="144"/>
      <c r="U120" s="143"/>
      <c r="V120" s="143"/>
      <c r="W120" s="143"/>
      <c r="X120" s="143"/>
      <c r="Y120" s="145" t="e">
        <f>VLOOKUP(#REF!,#REF!,18,FALSE)</f>
        <v>#REF!</v>
      </c>
      <c r="Z120" s="146"/>
      <c r="AA120" s="147"/>
      <c r="AB120" s="147"/>
    </row>
    <row r="121" spans="1:28">
      <c r="A121" s="137"/>
      <c r="B121" s="135"/>
      <c r="C121" s="136"/>
      <c r="D121" s="137"/>
      <c r="E121" s="138"/>
      <c r="F121" s="139"/>
      <c r="G121" s="137"/>
      <c r="H121" s="137"/>
      <c r="I121" s="140"/>
      <c r="J121" s="137"/>
      <c r="K121" s="137"/>
      <c r="L121" s="137"/>
      <c r="M121" s="141"/>
      <c r="N121" s="142"/>
      <c r="O121" s="141"/>
      <c r="P121" s="142"/>
      <c r="Q121" s="143"/>
      <c r="R121" s="143"/>
      <c r="S121" s="143"/>
      <c r="T121" s="144"/>
      <c r="U121" s="143"/>
      <c r="V121" s="143"/>
      <c r="W121" s="143"/>
      <c r="X121" s="143"/>
      <c r="Y121" s="145" t="e">
        <f>VLOOKUP(#REF!,#REF!,18,FALSE)</f>
        <v>#REF!</v>
      </c>
      <c r="Z121" s="146"/>
      <c r="AA121" s="147"/>
      <c r="AB121" s="147"/>
    </row>
    <row r="122" spans="1:28">
      <c r="A122" s="137"/>
      <c r="B122" s="135"/>
      <c r="C122" s="136"/>
      <c r="D122" s="137"/>
      <c r="E122" s="138"/>
      <c r="F122" s="139"/>
      <c r="G122" s="137"/>
      <c r="H122" s="137"/>
      <c r="I122" s="140"/>
      <c r="J122" s="137"/>
      <c r="K122" s="137"/>
      <c r="L122" s="137"/>
      <c r="M122" s="141"/>
      <c r="N122" s="142"/>
      <c r="O122" s="141"/>
      <c r="P122" s="142"/>
      <c r="Q122" s="143"/>
      <c r="R122" s="143"/>
      <c r="S122" s="143"/>
      <c r="T122" s="144"/>
      <c r="U122" s="143"/>
      <c r="V122" s="143"/>
      <c r="W122" s="143"/>
      <c r="X122" s="143"/>
      <c r="Y122" s="145" t="e">
        <f>VLOOKUP(#REF!,#REF!,18,FALSE)</f>
        <v>#REF!</v>
      </c>
      <c r="Z122" s="146"/>
      <c r="AA122" s="147"/>
      <c r="AB122" s="147"/>
    </row>
    <row r="123" spans="1:28">
      <c r="A123" s="137"/>
      <c r="B123" s="135"/>
      <c r="C123" s="136"/>
      <c r="D123" s="137"/>
      <c r="E123" s="138"/>
      <c r="F123" s="139"/>
      <c r="G123" s="137"/>
      <c r="H123" s="137"/>
      <c r="I123" s="140"/>
      <c r="J123" s="137"/>
      <c r="K123" s="137"/>
      <c r="L123" s="137"/>
      <c r="M123" s="141"/>
      <c r="N123" s="142"/>
      <c r="O123" s="141"/>
      <c r="P123" s="142"/>
      <c r="Q123" s="143"/>
      <c r="R123" s="143"/>
      <c r="S123" s="143"/>
      <c r="T123" s="144"/>
      <c r="U123" s="143"/>
      <c r="V123" s="143"/>
      <c r="W123" s="143"/>
      <c r="X123" s="143"/>
      <c r="Y123" s="145" t="e">
        <f>VLOOKUP(#REF!,#REF!,18,FALSE)</f>
        <v>#REF!</v>
      </c>
      <c r="Z123" s="146"/>
      <c r="AA123" s="147"/>
      <c r="AB123" s="147"/>
    </row>
    <row r="124" spans="1:28">
      <c r="A124" s="137"/>
      <c r="B124" s="135"/>
      <c r="C124" s="136"/>
      <c r="D124" s="137"/>
      <c r="E124" s="138"/>
      <c r="F124" s="139"/>
      <c r="G124" s="137"/>
      <c r="H124" s="137"/>
      <c r="I124" s="140"/>
      <c r="J124" s="137"/>
      <c r="K124" s="137"/>
      <c r="L124" s="137"/>
      <c r="M124" s="141"/>
      <c r="N124" s="142"/>
      <c r="O124" s="141"/>
      <c r="P124" s="142"/>
      <c r="Q124" s="143"/>
      <c r="R124" s="143"/>
      <c r="S124" s="143"/>
      <c r="T124" s="144"/>
      <c r="U124" s="143"/>
      <c r="V124" s="143"/>
      <c r="W124" s="143"/>
      <c r="X124" s="143"/>
      <c r="Y124" s="145" t="e">
        <f>VLOOKUP(#REF!,#REF!,18,FALSE)</f>
        <v>#REF!</v>
      </c>
      <c r="Z124" s="146"/>
      <c r="AA124" s="147"/>
      <c r="AB124" s="147"/>
    </row>
    <row r="125" spans="1:28">
      <c r="A125" s="137"/>
      <c r="B125" s="135"/>
      <c r="C125" s="136"/>
      <c r="D125" s="137"/>
      <c r="E125" s="138"/>
      <c r="F125" s="139"/>
      <c r="G125" s="137"/>
      <c r="H125" s="137"/>
      <c r="I125" s="140"/>
      <c r="J125" s="137"/>
      <c r="K125" s="137"/>
      <c r="L125" s="137"/>
      <c r="M125" s="141"/>
      <c r="N125" s="142"/>
      <c r="O125" s="141"/>
      <c r="P125" s="142"/>
      <c r="Q125" s="143"/>
      <c r="R125" s="143"/>
      <c r="S125" s="143"/>
      <c r="T125" s="144"/>
      <c r="U125" s="143"/>
      <c r="V125" s="143"/>
      <c r="W125" s="143"/>
      <c r="X125" s="143"/>
      <c r="Y125" s="145" t="e">
        <f>VLOOKUP(#REF!,#REF!,18,FALSE)</f>
        <v>#REF!</v>
      </c>
      <c r="Z125" s="146"/>
      <c r="AA125" s="147"/>
      <c r="AB125" s="147"/>
    </row>
    <row r="126" spans="1:28">
      <c r="A126" s="137"/>
      <c r="B126" s="135"/>
      <c r="C126" s="136"/>
      <c r="D126" s="137"/>
      <c r="E126" s="138"/>
      <c r="F126" s="139"/>
      <c r="G126" s="137"/>
      <c r="H126" s="137"/>
      <c r="I126" s="140"/>
      <c r="J126" s="137"/>
      <c r="K126" s="137"/>
      <c r="L126" s="137"/>
      <c r="M126" s="141"/>
      <c r="N126" s="142"/>
      <c r="O126" s="141"/>
      <c r="P126" s="142"/>
      <c r="Q126" s="143"/>
      <c r="R126" s="143"/>
      <c r="S126" s="143"/>
      <c r="T126" s="144"/>
      <c r="U126" s="143"/>
      <c r="V126" s="143"/>
      <c r="W126" s="143"/>
      <c r="X126" s="143"/>
      <c r="Y126" s="145" t="e">
        <f>VLOOKUP(#REF!,#REF!,18,FALSE)</f>
        <v>#REF!</v>
      </c>
      <c r="Z126" s="146"/>
      <c r="AA126" s="147"/>
      <c r="AB126" s="147"/>
    </row>
    <row r="127" spans="1:28">
      <c r="A127" s="137"/>
      <c r="B127" s="135"/>
      <c r="C127" s="136"/>
      <c r="D127" s="137"/>
      <c r="E127" s="138"/>
      <c r="F127" s="139"/>
      <c r="G127" s="137"/>
      <c r="H127" s="137"/>
      <c r="I127" s="140"/>
      <c r="J127" s="137"/>
      <c r="K127" s="137"/>
      <c r="L127" s="137"/>
      <c r="M127" s="141"/>
      <c r="N127" s="142"/>
      <c r="O127" s="141"/>
      <c r="P127" s="142"/>
      <c r="Q127" s="143"/>
      <c r="R127" s="143"/>
      <c r="S127" s="143"/>
      <c r="T127" s="144"/>
      <c r="U127" s="143"/>
      <c r="V127" s="143"/>
      <c r="W127" s="143"/>
      <c r="X127" s="143"/>
      <c r="Y127" s="145" t="e">
        <f>VLOOKUP(#REF!,#REF!,18,FALSE)</f>
        <v>#REF!</v>
      </c>
      <c r="Z127" s="146"/>
      <c r="AA127" s="147"/>
      <c r="AB127" s="147"/>
    </row>
    <row r="128" spans="1:28">
      <c r="A128" s="137"/>
      <c r="B128" s="135"/>
      <c r="C128" s="136"/>
      <c r="D128" s="137"/>
      <c r="E128" s="138"/>
      <c r="F128" s="139"/>
      <c r="G128" s="137"/>
      <c r="H128" s="137"/>
      <c r="I128" s="140"/>
      <c r="J128" s="137"/>
      <c r="K128" s="137"/>
      <c r="L128" s="137"/>
      <c r="M128" s="141"/>
      <c r="N128" s="142"/>
      <c r="O128" s="141"/>
      <c r="P128" s="142"/>
      <c r="Q128" s="143"/>
      <c r="R128" s="143"/>
      <c r="S128" s="143"/>
      <c r="T128" s="144"/>
      <c r="U128" s="143"/>
      <c r="V128" s="143"/>
      <c r="W128" s="143"/>
      <c r="X128" s="143"/>
      <c r="Y128" s="145" t="e">
        <f>VLOOKUP(#REF!,#REF!,18,FALSE)</f>
        <v>#REF!</v>
      </c>
      <c r="Z128" s="146"/>
      <c r="AA128" s="147"/>
      <c r="AB128" s="147"/>
    </row>
    <row r="129" spans="1:28">
      <c r="A129" s="137"/>
      <c r="B129" s="135"/>
      <c r="C129" s="136"/>
      <c r="D129" s="137"/>
      <c r="E129" s="138"/>
      <c r="F129" s="139"/>
      <c r="G129" s="137"/>
      <c r="H129" s="137"/>
      <c r="I129" s="140"/>
      <c r="J129" s="137"/>
      <c r="K129" s="137"/>
      <c r="L129" s="137"/>
      <c r="M129" s="141"/>
      <c r="N129" s="142"/>
      <c r="O129" s="141"/>
      <c r="P129" s="142"/>
      <c r="Q129" s="143"/>
      <c r="R129" s="143"/>
      <c r="S129" s="143"/>
      <c r="T129" s="144"/>
      <c r="U129" s="143"/>
      <c r="V129" s="143"/>
      <c r="W129" s="143"/>
      <c r="X129" s="143"/>
      <c r="Y129" s="145" t="e">
        <f>VLOOKUP(#REF!,#REF!,18,FALSE)</f>
        <v>#REF!</v>
      </c>
      <c r="Z129" s="146"/>
      <c r="AA129" s="147"/>
      <c r="AB129" s="147"/>
    </row>
    <row r="130" spans="1:28">
      <c r="A130" s="137"/>
      <c r="B130" s="135"/>
      <c r="C130" s="136"/>
      <c r="D130" s="137"/>
      <c r="E130" s="138"/>
      <c r="F130" s="139"/>
      <c r="G130" s="137"/>
      <c r="H130" s="137"/>
      <c r="I130" s="140"/>
      <c r="J130" s="137"/>
      <c r="K130" s="137"/>
      <c r="L130" s="137"/>
      <c r="M130" s="141"/>
      <c r="N130" s="142"/>
      <c r="O130" s="141"/>
      <c r="P130" s="142"/>
      <c r="Q130" s="143"/>
      <c r="R130" s="143"/>
      <c r="S130" s="143"/>
      <c r="T130" s="144"/>
      <c r="U130" s="143"/>
      <c r="V130" s="143"/>
      <c r="W130" s="143"/>
      <c r="X130" s="143"/>
      <c r="Y130" s="145" t="e">
        <f>VLOOKUP(#REF!,#REF!,18,FALSE)</f>
        <v>#REF!</v>
      </c>
      <c r="Z130" s="146"/>
      <c r="AA130" s="147"/>
      <c r="AB130" s="147"/>
    </row>
    <row r="131" spans="1:28">
      <c r="A131" s="137"/>
      <c r="B131" s="135"/>
      <c r="C131" s="136"/>
      <c r="D131" s="137"/>
      <c r="E131" s="138"/>
      <c r="F131" s="139"/>
      <c r="G131" s="137"/>
      <c r="H131" s="137"/>
      <c r="I131" s="140"/>
      <c r="J131" s="137"/>
      <c r="K131" s="137"/>
      <c r="L131" s="137"/>
      <c r="M131" s="141"/>
      <c r="N131" s="142"/>
      <c r="O131" s="141"/>
      <c r="P131" s="142"/>
      <c r="Q131" s="143"/>
      <c r="R131" s="143"/>
      <c r="S131" s="143"/>
      <c r="T131" s="144"/>
      <c r="U131" s="143"/>
      <c r="V131" s="143"/>
      <c r="W131" s="143"/>
      <c r="X131" s="143"/>
      <c r="Y131" s="145" t="e">
        <f>VLOOKUP(#REF!,#REF!,18,FALSE)</f>
        <v>#REF!</v>
      </c>
      <c r="Z131" s="146"/>
      <c r="AA131" s="147"/>
      <c r="AB131" s="147"/>
    </row>
    <row r="132" spans="1:28">
      <c r="A132" s="137"/>
      <c r="B132" s="135"/>
      <c r="C132" s="136"/>
      <c r="D132" s="137"/>
      <c r="E132" s="138"/>
      <c r="F132" s="139"/>
      <c r="G132" s="137"/>
      <c r="H132" s="137"/>
      <c r="I132" s="140"/>
      <c r="J132" s="137"/>
      <c r="K132" s="137"/>
      <c r="L132" s="137"/>
      <c r="M132" s="141"/>
      <c r="N132" s="142"/>
      <c r="O132" s="141"/>
      <c r="P132" s="142"/>
      <c r="Q132" s="143"/>
      <c r="R132" s="143"/>
      <c r="S132" s="143"/>
      <c r="T132" s="144"/>
      <c r="U132" s="143"/>
      <c r="V132" s="143"/>
      <c r="W132" s="143"/>
      <c r="X132" s="143"/>
      <c r="Y132" s="145" t="e">
        <f>VLOOKUP(#REF!,#REF!,18,FALSE)</f>
        <v>#REF!</v>
      </c>
      <c r="Z132" s="146"/>
      <c r="AA132" s="147"/>
      <c r="AB132" s="147"/>
    </row>
    <row r="133" spans="1:28">
      <c r="A133" s="137"/>
      <c r="B133" s="135"/>
      <c r="C133" s="136"/>
      <c r="D133" s="137"/>
      <c r="E133" s="138"/>
      <c r="F133" s="139"/>
      <c r="G133" s="137"/>
      <c r="H133" s="137"/>
      <c r="I133" s="140"/>
      <c r="J133" s="137"/>
      <c r="K133" s="137"/>
      <c r="L133" s="137"/>
      <c r="M133" s="141"/>
      <c r="N133" s="142"/>
      <c r="O133" s="141"/>
      <c r="P133" s="142"/>
      <c r="Q133" s="143"/>
      <c r="R133" s="143"/>
      <c r="S133" s="143"/>
      <c r="T133" s="144"/>
      <c r="U133" s="143"/>
      <c r="V133" s="143"/>
      <c r="W133" s="143"/>
      <c r="X133" s="143"/>
      <c r="Y133" s="145" t="e">
        <f>VLOOKUP(#REF!,#REF!,18,FALSE)</f>
        <v>#REF!</v>
      </c>
      <c r="Z133" s="146"/>
      <c r="AA133" s="147"/>
      <c r="AB133" s="147"/>
    </row>
    <row r="134" spans="1:28">
      <c r="A134" s="137"/>
      <c r="B134" s="135"/>
      <c r="C134" s="136"/>
      <c r="D134" s="137"/>
      <c r="E134" s="138"/>
      <c r="F134" s="139"/>
      <c r="G134" s="137"/>
      <c r="H134" s="137"/>
      <c r="I134" s="140"/>
      <c r="J134" s="137"/>
      <c r="K134" s="137"/>
      <c r="L134" s="137"/>
      <c r="M134" s="141"/>
      <c r="N134" s="142"/>
      <c r="O134" s="141"/>
      <c r="P134" s="142"/>
      <c r="Q134" s="143"/>
      <c r="R134" s="143"/>
      <c r="S134" s="143"/>
      <c r="T134" s="144"/>
      <c r="U134" s="143"/>
      <c r="V134" s="143"/>
      <c r="W134" s="143"/>
      <c r="X134" s="143"/>
      <c r="Y134" s="145" t="e">
        <f>VLOOKUP(#REF!,#REF!,18,FALSE)</f>
        <v>#REF!</v>
      </c>
      <c r="Z134" s="146"/>
      <c r="AA134" s="147"/>
      <c r="AB134" s="147"/>
    </row>
    <row r="135" spans="1:28">
      <c r="A135" s="137"/>
      <c r="B135" s="135"/>
      <c r="C135" s="136"/>
      <c r="D135" s="137"/>
      <c r="E135" s="138"/>
      <c r="F135" s="139"/>
      <c r="G135" s="137"/>
      <c r="H135" s="137"/>
      <c r="I135" s="140"/>
      <c r="J135" s="137"/>
      <c r="K135" s="137"/>
      <c r="L135" s="137"/>
      <c r="M135" s="141"/>
      <c r="N135" s="142"/>
      <c r="O135" s="141"/>
      <c r="P135" s="142"/>
      <c r="Q135" s="143"/>
      <c r="R135" s="143"/>
      <c r="S135" s="143"/>
      <c r="T135" s="144"/>
      <c r="U135" s="143"/>
      <c r="V135" s="143"/>
      <c r="W135" s="143"/>
      <c r="X135" s="143"/>
      <c r="Y135" s="145" t="e">
        <f>VLOOKUP(#REF!,#REF!,18,FALSE)</f>
        <v>#REF!</v>
      </c>
      <c r="Z135" s="146"/>
      <c r="AA135" s="147"/>
      <c r="AB135" s="147"/>
    </row>
    <row r="136" spans="1:28">
      <c r="A136" s="137"/>
      <c r="B136" s="135"/>
      <c r="C136" s="136"/>
      <c r="D136" s="137"/>
      <c r="E136" s="138"/>
      <c r="F136" s="139"/>
      <c r="G136" s="137"/>
      <c r="H136" s="137"/>
      <c r="I136" s="140"/>
      <c r="J136" s="137"/>
      <c r="K136" s="137"/>
      <c r="L136" s="137"/>
      <c r="M136" s="141"/>
      <c r="N136" s="142"/>
      <c r="O136" s="141"/>
      <c r="P136" s="142"/>
      <c r="Q136" s="143"/>
      <c r="R136" s="143"/>
      <c r="S136" s="143"/>
      <c r="T136" s="144"/>
      <c r="U136" s="143"/>
      <c r="V136" s="143"/>
      <c r="W136" s="143"/>
      <c r="X136" s="143"/>
      <c r="Y136" s="145" t="e">
        <f>VLOOKUP(#REF!,#REF!,18,FALSE)</f>
        <v>#REF!</v>
      </c>
      <c r="Z136" s="146"/>
      <c r="AA136" s="147"/>
      <c r="AB136" s="147"/>
    </row>
    <row r="137" spans="1:28">
      <c r="A137" s="137"/>
      <c r="B137" s="135"/>
      <c r="C137" s="136"/>
      <c r="D137" s="137"/>
      <c r="E137" s="138"/>
      <c r="F137" s="139"/>
      <c r="G137" s="137"/>
      <c r="H137" s="137"/>
      <c r="I137" s="140"/>
      <c r="J137" s="137"/>
      <c r="K137" s="137"/>
      <c r="L137" s="137"/>
      <c r="M137" s="141"/>
      <c r="N137" s="142"/>
      <c r="O137" s="141"/>
      <c r="P137" s="142"/>
      <c r="Q137" s="143"/>
      <c r="R137" s="143"/>
      <c r="S137" s="143"/>
      <c r="T137" s="144"/>
      <c r="U137" s="143"/>
      <c r="V137" s="143"/>
      <c r="W137" s="143"/>
      <c r="X137" s="143"/>
      <c r="Y137" s="145" t="e">
        <f>VLOOKUP(#REF!,#REF!,18,FALSE)</f>
        <v>#REF!</v>
      </c>
      <c r="Z137" s="146"/>
      <c r="AA137" s="147"/>
      <c r="AB137" s="147"/>
    </row>
    <row r="138" spans="1:28">
      <c r="A138" s="137"/>
      <c r="B138" s="135"/>
      <c r="C138" s="136"/>
      <c r="D138" s="137"/>
      <c r="E138" s="138"/>
      <c r="F138" s="139"/>
      <c r="G138" s="137"/>
      <c r="H138" s="137"/>
      <c r="I138" s="140"/>
      <c r="J138" s="137"/>
      <c r="K138" s="137"/>
      <c r="L138" s="137"/>
      <c r="M138" s="141"/>
      <c r="N138" s="142"/>
      <c r="O138" s="141"/>
      <c r="P138" s="142"/>
      <c r="Q138" s="143"/>
      <c r="R138" s="143"/>
      <c r="S138" s="143"/>
      <c r="T138" s="144"/>
      <c r="U138" s="143"/>
      <c r="V138" s="143"/>
      <c r="W138" s="143"/>
      <c r="X138" s="143"/>
      <c r="Y138" s="145" t="e">
        <f>VLOOKUP(#REF!,#REF!,18,FALSE)</f>
        <v>#REF!</v>
      </c>
      <c r="Z138" s="146"/>
      <c r="AA138" s="147"/>
      <c r="AB138" s="147"/>
    </row>
    <row r="139" spans="1:28">
      <c r="A139" s="137"/>
      <c r="B139" s="135"/>
      <c r="C139" s="136"/>
      <c r="D139" s="137"/>
      <c r="E139" s="138"/>
      <c r="F139" s="139"/>
      <c r="G139" s="137"/>
      <c r="H139" s="137"/>
      <c r="I139" s="140"/>
      <c r="J139" s="137"/>
      <c r="K139" s="137"/>
      <c r="L139" s="137"/>
      <c r="M139" s="141"/>
      <c r="N139" s="142"/>
      <c r="O139" s="141"/>
      <c r="P139" s="142"/>
      <c r="Q139" s="143"/>
      <c r="R139" s="143"/>
      <c r="S139" s="143"/>
      <c r="T139" s="144"/>
      <c r="U139" s="143"/>
      <c r="V139" s="143"/>
      <c r="W139" s="143"/>
      <c r="X139" s="143"/>
      <c r="Y139" s="145" t="e">
        <f>VLOOKUP(#REF!,#REF!,18,FALSE)</f>
        <v>#REF!</v>
      </c>
      <c r="Z139" s="146"/>
      <c r="AA139" s="147"/>
      <c r="AB139" s="147"/>
    </row>
    <row r="140" spans="1:28">
      <c r="A140" s="137"/>
      <c r="B140" s="135"/>
      <c r="C140" s="136"/>
      <c r="D140" s="137"/>
      <c r="E140" s="138"/>
      <c r="F140" s="139"/>
      <c r="G140" s="137"/>
      <c r="H140" s="137"/>
      <c r="I140" s="140"/>
      <c r="J140" s="137"/>
      <c r="K140" s="137"/>
      <c r="L140" s="137"/>
      <c r="M140" s="141"/>
      <c r="N140" s="142"/>
      <c r="O140" s="141"/>
      <c r="P140" s="142"/>
      <c r="Q140" s="143"/>
      <c r="R140" s="143"/>
      <c r="S140" s="143"/>
      <c r="T140" s="144"/>
      <c r="U140" s="143"/>
      <c r="V140" s="143"/>
      <c r="W140" s="143"/>
      <c r="X140" s="143"/>
      <c r="Y140" s="145" t="e">
        <f>VLOOKUP(#REF!,#REF!,18,FALSE)</f>
        <v>#REF!</v>
      </c>
      <c r="Z140" s="146"/>
      <c r="AA140" s="147"/>
      <c r="AB140" s="147"/>
    </row>
    <row r="141" spans="1:28">
      <c r="A141" s="137"/>
      <c r="B141" s="135"/>
      <c r="C141" s="136"/>
      <c r="D141" s="137"/>
      <c r="E141" s="138"/>
      <c r="F141" s="139"/>
      <c r="G141" s="137"/>
      <c r="H141" s="137"/>
      <c r="I141" s="140"/>
      <c r="J141" s="137"/>
      <c r="K141" s="137"/>
      <c r="L141" s="137"/>
      <c r="M141" s="141"/>
      <c r="N141" s="142"/>
      <c r="O141" s="141"/>
      <c r="P141" s="142"/>
      <c r="Q141" s="143"/>
      <c r="R141" s="143"/>
      <c r="S141" s="143"/>
      <c r="T141" s="144"/>
      <c r="U141" s="143"/>
      <c r="V141" s="143"/>
      <c r="W141" s="143"/>
      <c r="X141" s="143"/>
      <c r="Y141" s="145" t="e">
        <f>VLOOKUP(#REF!,#REF!,18,FALSE)</f>
        <v>#REF!</v>
      </c>
      <c r="Z141" s="146"/>
      <c r="AA141" s="147"/>
      <c r="AB141" s="147"/>
    </row>
    <row r="142" spans="1:28">
      <c r="A142" s="137"/>
      <c r="B142" s="135"/>
      <c r="C142" s="136"/>
      <c r="D142" s="137"/>
      <c r="E142" s="138"/>
      <c r="F142" s="139"/>
      <c r="G142" s="137"/>
      <c r="H142" s="137"/>
      <c r="I142" s="140"/>
      <c r="J142" s="137"/>
      <c r="K142" s="137"/>
      <c r="L142" s="137"/>
      <c r="M142" s="141"/>
      <c r="N142" s="142"/>
      <c r="O142" s="141"/>
      <c r="P142" s="142"/>
      <c r="Q142" s="143"/>
      <c r="R142" s="143"/>
      <c r="S142" s="143"/>
      <c r="T142" s="144"/>
      <c r="U142" s="143"/>
      <c r="V142" s="143"/>
      <c r="W142" s="143"/>
      <c r="X142" s="143"/>
      <c r="Y142" s="145" t="e">
        <f>VLOOKUP(#REF!,#REF!,18,FALSE)</f>
        <v>#REF!</v>
      </c>
      <c r="Z142" s="146"/>
      <c r="AA142" s="147"/>
      <c r="AB142" s="147"/>
    </row>
    <row r="143" spans="1:28">
      <c r="A143" s="137"/>
      <c r="B143" s="135"/>
      <c r="C143" s="136"/>
      <c r="D143" s="137"/>
      <c r="E143" s="138"/>
      <c r="F143" s="139"/>
      <c r="G143" s="137"/>
      <c r="H143" s="137"/>
      <c r="I143" s="140"/>
      <c r="J143" s="137"/>
      <c r="K143" s="137"/>
      <c r="L143" s="137"/>
      <c r="M143" s="141"/>
      <c r="N143" s="142"/>
      <c r="O143" s="141"/>
      <c r="P143" s="142"/>
      <c r="Q143" s="143"/>
      <c r="R143" s="143"/>
      <c r="S143" s="143"/>
      <c r="T143" s="144"/>
      <c r="U143" s="143"/>
      <c r="V143" s="143"/>
      <c r="W143" s="143"/>
      <c r="X143" s="143"/>
      <c r="Y143" s="145" t="e">
        <f>VLOOKUP(#REF!,#REF!,18,FALSE)</f>
        <v>#REF!</v>
      </c>
      <c r="Z143" s="146"/>
      <c r="AA143" s="147"/>
      <c r="AB143" s="147"/>
    </row>
    <row r="144" spans="1:28">
      <c r="A144" s="137"/>
      <c r="B144" s="135"/>
      <c r="C144" s="136"/>
      <c r="D144" s="137"/>
      <c r="E144" s="138"/>
      <c r="F144" s="139"/>
      <c r="G144" s="137"/>
      <c r="H144" s="137"/>
      <c r="I144" s="140"/>
      <c r="J144" s="137"/>
      <c r="K144" s="137"/>
      <c r="L144" s="137"/>
      <c r="M144" s="141"/>
      <c r="N144" s="142"/>
      <c r="O144" s="141"/>
      <c r="P144" s="142"/>
      <c r="Q144" s="143"/>
      <c r="R144" s="143"/>
      <c r="S144" s="143"/>
      <c r="T144" s="144"/>
      <c r="U144" s="143"/>
      <c r="V144" s="143"/>
      <c r="W144" s="143"/>
      <c r="X144" s="143"/>
      <c r="Y144" s="145" t="e">
        <f>VLOOKUP(#REF!,#REF!,18,FALSE)</f>
        <v>#REF!</v>
      </c>
      <c r="Z144" s="146"/>
      <c r="AA144" s="147"/>
      <c r="AB144" s="147"/>
    </row>
    <row r="145" spans="1:28">
      <c r="A145" s="137"/>
      <c r="B145" s="135"/>
      <c r="C145" s="136"/>
      <c r="D145" s="137"/>
      <c r="E145" s="138"/>
      <c r="F145" s="139"/>
      <c r="G145" s="137"/>
      <c r="H145" s="137"/>
      <c r="I145" s="140"/>
      <c r="J145" s="137"/>
      <c r="K145" s="137"/>
      <c r="L145" s="137"/>
      <c r="M145" s="141"/>
      <c r="N145" s="142"/>
      <c r="O145" s="141"/>
      <c r="P145" s="142"/>
      <c r="Q145" s="143"/>
      <c r="R145" s="143"/>
      <c r="S145" s="143"/>
      <c r="T145" s="144"/>
      <c r="U145" s="143"/>
      <c r="V145" s="143"/>
      <c r="W145" s="143"/>
      <c r="X145" s="143"/>
      <c r="Y145" s="145" t="e">
        <f>VLOOKUP(#REF!,#REF!,18,FALSE)</f>
        <v>#REF!</v>
      </c>
      <c r="Z145" s="146"/>
      <c r="AA145" s="147"/>
      <c r="AB145" s="147"/>
    </row>
    <row r="146" spans="1:28">
      <c r="A146" s="137"/>
      <c r="B146" s="135"/>
      <c r="C146" s="136"/>
      <c r="D146" s="137"/>
      <c r="E146" s="138"/>
      <c r="F146" s="139"/>
      <c r="G146" s="137"/>
      <c r="H146" s="137"/>
      <c r="I146" s="140"/>
      <c r="J146" s="137"/>
      <c r="K146" s="137"/>
      <c r="L146" s="137"/>
      <c r="M146" s="141"/>
      <c r="N146" s="142"/>
      <c r="O146" s="141"/>
      <c r="P146" s="142"/>
      <c r="Q146" s="143"/>
      <c r="R146" s="143"/>
      <c r="S146" s="143"/>
      <c r="T146" s="144"/>
      <c r="U146" s="143"/>
      <c r="V146" s="143"/>
      <c r="W146" s="143"/>
      <c r="X146" s="143"/>
      <c r="Y146" s="145" t="e">
        <f>VLOOKUP(#REF!,#REF!,18,FALSE)</f>
        <v>#REF!</v>
      </c>
      <c r="Z146" s="146"/>
      <c r="AA146" s="147"/>
      <c r="AB146" s="147"/>
    </row>
    <row r="147" spans="1:28">
      <c r="A147" s="137"/>
      <c r="B147" s="135"/>
      <c r="C147" s="136"/>
      <c r="D147" s="137"/>
      <c r="E147" s="138"/>
      <c r="F147" s="139"/>
      <c r="G147" s="137"/>
      <c r="H147" s="137"/>
      <c r="I147" s="140"/>
      <c r="J147" s="137"/>
      <c r="K147" s="137"/>
      <c r="L147" s="137"/>
      <c r="M147" s="141"/>
      <c r="N147" s="142"/>
      <c r="O147" s="141"/>
      <c r="P147" s="142"/>
      <c r="Q147" s="143"/>
      <c r="R147" s="143"/>
      <c r="S147" s="143"/>
      <c r="T147" s="144"/>
      <c r="U147" s="143"/>
      <c r="V147" s="143"/>
      <c r="W147" s="143"/>
      <c r="X147" s="143"/>
      <c r="Y147" s="145" t="e">
        <f>VLOOKUP(#REF!,#REF!,18,FALSE)</f>
        <v>#REF!</v>
      </c>
      <c r="Z147" s="146"/>
      <c r="AA147" s="147"/>
      <c r="AB147" s="147"/>
    </row>
    <row r="148" spans="1:28">
      <c r="A148" s="137"/>
      <c r="B148" s="135"/>
      <c r="C148" s="136"/>
      <c r="D148" s="137"/>
      <c r="E148" s="138"/>
      <c r="F148" s="139"/>
      <c r="G148" s="137"/>
      <c r="H148" s="137"/>
      <c r="I148" s="140"/>
      <c r="J148" s="137"/>
      <c r="K148" s="137"/>
      <c r="L148" s="137"/>
      <c r="M148" s="141"/>
      <c r="N148" s="142"/>
      <c r="O148" s="141"/>
      <c r="P148" s="142"/>
      <c r="Q148" s="143"/>
      <c r="R148" s="143"/>
      <c r="S148" s="143"/>
      <c r="T148" s="144"/>
      <c r="U148" s="143"/>
      <c r="V148" s="143"/>
      <c r="W148" s="143"/>
      <c r="X148" s="143"/>
      <c r="Y148" s="145" t="e">
        <f>VLOOKUP(#REF!,#REF!,18,FALSE)</f>
        <v>#REF!</v>
      </c>
      <c r="Z148" s="146"/>
      <c r="AA148" s="147"/>
      <c r="AB148" s="147"/>
    </row>
    <row r="149" spans="1:28">
      <c r="A149" s="137"/>
      <c r="B149" s="135"/>
      <c r="C149" s="136"/>
      <c r="D149" s="137"/>
      <c r="E149" s="138"/>
      <c r="F149" s="139"/>
      <c r="G149" s="137"/>
      <c r="H149" s="137"/>
      <c r="I149" s="140"/>
      <c r="J149" s="137"/>
      <c r="K149" s="137"/>
      <c r="L149" s="137"/>
      <c r="M149" s="141"/>
      <c r="N149" s="142"/>
      <c r="O149" s="141"/>
      <c r="P149" s="142"/>
      <c r="Q149" s="143"/>
      <c r="R149" s="143"/>
      <c r="S149" s="143"/>
      <c r="T149" s="144"/>
      <c r="U149" s="143"/>
      <c r="V149" s="143"/>
      <c r="W149" s="143"/>
      <c r="X149" s="143"/>
      <c r="Y149" s="145" t="e">
        <f>VLOOKUP(#REF!,#REF!,18,FALSE)</f>
        <v>#REF!</v>
      </c>
      <c r="Z149" s="146"/>
      <c r="AA149" s="147"/>
      <c r="AB149" s="147"/>
    </row>
    <row r="150" spans="1:28">
      <c r="A150" s="137"/>
      <c r="B150" s="135"/>
      <c r="C150" s="136"/>
      <c r="D150" s="137"/>
      <c r="E150" s="138"/>
      <c r="F150" s="139"/>
      <c r="G150" s="137"/>
      <c r="H150" s="137"/>
      <c r="I150" s="140"/>
      <c r="J150" s="137"/>
      <c r="K150" s="137"/>
      <c r="L150" s="137"/>
      <c r="M150" s="141"/>
      <c r="N150" s="142"/>
      <c r="O150" s="141"/>
      <c r="P150" s="142"/>
      <c r="Q150" s="143"/>
      <c r="R150" s="143"/>
      <c r="S150" s="143"/>
      <c r="T150" s="144"/>
      <c r="U150" s="143"/>
      <c r="V150" s="143"/>
      <c r="W150" s="143"/>
      <c r="X150" s="143"/>
      <c r="Y150" s="145" t="e">
        <f>VLOOKUP(#REF!,#REF!,18,FALSE)</f>
        <v>#REF!</v>
      </c>
      <c r="Z150" s="146"/>
      <c r="AA150" s="147"/>
      <c r="AB150" s="147"/>
    </row>
    <row r="151" spans="1:28">
      <c r="A151" s="137"/>
      <c r="B151" s="135"/>
      <c r="C151" s="136"/>
      <c r="D151" s="137"/>
      <c r="E151" s="138"/>
      <c r="F151" s="139"/>
      <c r="G151" s="137"/>
      <c r="H151" s="137"/>
      <c r="I151" s="140"/>
      <c r="J151" s="137"/>
      <c r="K151" s="137"/>
      <c r="L151" s="137"/>
      <c r="M151" s="141"/>
      <c r="N151" s="142"/>
      <c r="O151" s="141"/>
      <c r="P151" s="142"/>
      <c r="Q151" s="143"/>
      <c r="R151" s="143"/>
      <c r="S151" s="143"/>
      <c r="T151" s="144"/>
      <c r="U151" s="143"/>
      <c r="V151" s="143"/>
      <c r="W151" s="143"/>
      <c r="X151" s="143"/>
      <c r="Y151" s="145" t="e">
        <f>VLOOKUP(#REF!,#REF!,18,FALSE)</f>
        <v>#REF!</v>
      </c>
      <c r="Z151" s="146"/>
      <c r="AA151" s="147"/>
      <c r="AB151" s="147"/>
    </row>
    <row r="152" spans="1:28">
      <c r="A152" s="137"/>
      <c r="B152" s="135"/>
      <c r="C152" s="136"/>
      <c r="D152" s="137"/>
      <c r="E152" s="138"/>
      <c r="F152" s="139"/>
      <c r="G152" s="137"/>
      <c r="H152" s="137"/>
      <c r="I152" s="140"/>
      <c r="J152" s="137"/>
      <c r="K152" s="137"/>
      <c r="L152" s="137"/>
      <c r="M152" s="141"/>
      <c r="N152" s="142"/>
      <c r="O152" s="141"/>
      <c r="P152" s="142"/>
      <c r="Q152" s="143"/>
      <c r="R152" s="143"/>
      <c r="S152" s="143"/>
      <c r="T152" s="144"/>
      <c r="U152" s="143"/>
      <c r="V152" s="143"/>
      <c r="W152" s="143"/>
      <c r="X152" s="143"/>
      <c r="Y152" s="145" t="e">
        <f>VLOOKUP(#REF!,#REF!,18,FALSE)</f>
        <v>#REF!</v>
      </c>
      <c r="Z152" s="146"/>
      <c r="AA152" s="147"/>
      <c r="AB152" s="147"/>
    </row>
    <row r="153" spans="1:28">
      <c r="A153" s="137"/>
      <c r="B153" s="135"/>
      <c r="C153" s="136"/>
      <c r="D153" s="137"/>
      <c r="E153" s="138"/>
      <c r="F153" s="139"/>
      <c r="G153" s="137"/>
      <c r="H153" s="137"/>
      <c r="I153" s="140"/>
      <c r="J153" s="137"/>
      <c r="K153" s="137"/>
      <c r="L153" s="137"/>
      <c r="M153" s="141"/>
      <c r="N153" s="142"/>
      <c r="O153" s="141"/>
      <c r="P153" s="142"/>
      <c r="Q153" s="143"/>
      <c r="R153" s="143"/>
      <c r="S153" s="143"/>
      <c r="T153" s="144"/>
      <c r="U153" s="143"/>
      <c r="V153" s="143"/>
      <c r="W153" s="143"/>
      <c r="X153" s="143"/>
      <c r="Y153" s="145" t="e">
        <f>VLOOKUP(#REF!,#REF!,18,FALSE)</f>
        <v>#REF!</v>
      </c>
      <c r="Z153" s="146"/>
      <c r="AA153" s="147"/>
      <c r="AB153" s="147"/>
    </row>
    <row r="154" spans="1:28">
      <c r="A154" s="137"/>
      <c r="B154" s="135"/>
      <c r="C154" s="136"/>
      <c r="D154" s="137"/>
      <c r="E154" s="138"/>
      <c r="F154" s="139"/>
      <c r="G154" s="137"/>
      <c r="H154" s="137"/>
      <c r="I154" s="140"/>
      <c r="J154" s="137"/>
      <c r="K154" s="137"/>
      <c r="L154" s="137"/>
      <c r="M154" s="141"/>
      <c r="N154" s="142"/>
      <c r="O154" s="141"/>
      <c r="P154" s="142"/>
      <c r="Q154" s="143"/>
      <c r="R154" s="143"/>
      <c r="S154" s="143"/>
      <c r="T154" s="144"/>
      <c r="U154" s="143"/>
      <c r="V154" s="143"/>
      <c r="W154" s="143"/>
      <c r="X154" s="143"/>
      <c r="Y154" s="145" t="e">
        <f>VLOOKUP(#REF!,#REF!,18,FALSE)</f>
        <v>#REF!</v>
      </c>
      <c r="Z154" s="146"/>
      <c r="AA154" s="147"/>
      <c r="AB154" s="147"/>
    </row>
    <row r="155" spans="1:28">
      <c r="A155" s="137"/>
      <c r="B155" s="135"/>
      <c r="C155" s="136"/>
      <c r="D155" s="137"/>
      <c r="E155" s="138"/>
      <c r="F155" s="139"/>
      <c r="G155" s="137"/>
      <c r="H155" s="137"/>
      <c r="I155" s="140"/>
      <c r="J155" s="137"/>
      <c r="K155" s="137"/>
      <c r="L155" s="137"/>
      <c r="M155" s="141"/>
      <c r="N155" s="142"/>
      <c r="O155" s="141"/>
      <c r="P155" s="142"/>
      <c r="Q155" s="143"/>
      <c r="R155" s="143"/>
      <c r="S155" s="143"/>
      <c r="T155" s="144"/>
      <c r="U155" s="143"/>
      <c r="V155" s="143"/>
      <c r="W155" s="143"/>
      <c r="X155" s="143"/>
      <c r="Y155" s="145" t="e">
        <f>VLOOKUP(#REF!,#REF!,18,FALSE)</f>
        <v>#REF!</v>
      </c>
      <c r="Z155" s="146"/>
      <c r="AA155" s="147"/>
      <c r="AB155" s="147"/>
    </row>
    <row r="156" spans="1:28">
      <c r="A156" s="137"/>
      <c r="B156" s="135"/>
      <c r="C156" s="136"/>
      <c r="D156" s="137"/>
      <c r="E156" s="138"/>
      <c r="F156" s="139"/>
      <c r="G156" s="137"/>
      <c r="H156" s="137"/>
      <c r="I156" s="140"/>
      <c r="J156" s="137"/>
      <c r="K156" s="137"/>
      <c r="L156" s="137"/>
      <c r="M156" s="141"/>
      <c r="N156" s="142"/>
      <c r="O156" s="141"/>
      <c r="P156" s="142"/>
      <c r="Q156" s="143"/>
      <c r="R156" s="143"/>
      <c r="S156" s="143"/>
      <c r="T156" s="144"/>
      <c r="U156" s="143"/>
      <c r="V156" s="143"/>
      <c r="W156" s="143"/>
      <c r="X156" s="143"/>
      <c r="Y156" s="145" t="e">
        <f>VLOOKUP(#REF!,#REF!,18,FALSE)</f>
        <v>#REF!</v>
      </c>
      <c r="Z156" s="146"/>
      <c r="AA156" s="147"/>
      <c r="AB156" s="147"/>
    </row>
    <row r="157" spans="1:28">
      <c r="A157" s="137"/>
      <c r="B157" s="135"/>
      <c r="C157" s="136"/>
      <c r="D157" s="137"/>
      <c r="E157" s="138"/>
      <c r="F157" s="139"/>
      <c r="G157" s="137"/>
      <c r="H157" s="137"/>
      <c r="I157" s="140"/>
      <c r="J157" s="137"/>
      <c r="K157" s="137"/>
      <c r="L157" s="137"/>
      <c r="M157" s="141"/>
      <c r="N157" s="142"/>
      <c r="O157" s="141"/>
      <c r="P157" s="142"/>
      <c r="Q157" s="143"/>
      <c r="R157" s="143"/>
      <c r="S157" s="143"/>
      <c r="T157" s="144"/>
      <c r="U157" s="143"/>
      <c r="V157" s="143"/>
      <c r="W157" s="143"/>
      <c r="X157" s="143"/>
      <c r="Y157" s="145" t="e">
        <f>VLOOKUP(#REF!,#REF!,18,FALSE)</f>
        <v>#REF!</v>
      </c>
      <c r="Z157" s="146"/>
      <c r="AA157" s="147"/>
      <c r="AB157" s="147"/>
    </row>
    <row r="158" spans="1:28">
      <c r="A158" s="137"/>
      <c r="B158" s="135"/>
      <c r="C158" s="136"/>
      <c r="D158" s="137"/>
      <c r="E158" s="138"/>
      <c r="F158" s="139"/>
      <c r="G158" s="137"/>
      <c r="H158" s="137"/>
      <c r="I158" s="140"/>
      <c r="J158" s="137"/>
      <c r="K158" s="137"/>
      <c r="L158" s="137"/>
      <c r="M158" s="141"/>
      <c r="N158" s="142"/>
      <c r="O158" s="141"/>
      <c r="P158" s="142"/>
      <c r="Q158" s="143"/>
      <c r="R158" s="143"/>
      <c r="S158" s="143"/>
      <c r="T158" s="144"/>
      <c r="U158" s="143"/>
      <c r="V158" s="143"/>
      <c r="W158" s="143"/>
      <c r="X158" s="143"/>
      <c r="Y158" s="145" t="e">
        <f>VLOOKUP(#REF!,#REF!,18,FALSE)</f>
        <v>#REF!</v>
      </c>
      <c r="Z158" s="146"/>
      <c r="AA158" s="147"/>
      <c r="AB158" s="147"/>
    </row>
    <row r="159" spans="1:28">
      <c r="A159" s="137"/>
      <c r="B159" s="135"/>
      <c r="C159" s="136"/>
      <c r="D159" s="137"/>
      <c r="E159" s="138"/>
      <c r="F159" s="139"/>
      <c r="G159" s="137"/>
      <c r="H159" s="137"/>
      <c r="I159" s="140"/>
      <c r="J159" s="137"/>
      <c r="K159" s="137"/>
      <c r="L159" s="137"/>
      <c r="M159" s="141"/>
      <c r="N159" s="142"/>
      <c r="O159" s="141"/>
      <c r="P159" s="142"/>
      <c r="Q159" s="143"/>
      <c r="R159" s="143"/>
      <c r="S159" s="143"/>
      <c r="T159" s="144"/>
      <c r="U159" s="143"/>
      <c r="V159" s="143"/>
      <c r="W159" s="143"/>
      <c r="X159" s="143"/>
      <c r="Y159" s="145" t="e">
        <f>VLOOKUP(#REF!,#REF!,18,FALSE)</f>
        <v>#REF!</v>
      </c>
      <c r="Z159" s="146"/>
      <c r="AA159" s="147"/>
      <c r="AB159" s="147"/>
    </row>
    <row r="160" spans="1:28">
      <c r="A160" s="137"/>
      <c r="B160" s="135"/>
      <c r="C160" s="136"/>
      <c r="D160" s="137"/>
      <c r="E160" s="138"/>
      <c r="F160" s="139"/>
      <c r="G160" s="137"/>
      <c r="H160" s="137"/>
      <c r="I160" s="140"/>
      <c r="J160" s="137"/>
      <c r="K160" s="137"/>
      <c r="L160" s="137"/>
      <c r="M160" s="141"/>
      <c r="N160" s="142"/>
      <c r="O160" s="141"/>
      <c r="P160" s="142"/>
      <c r="Q160" s="143"/>
      <c r="R160" s="143"/>
      <c r="S160" s="143"/>
      <c r="T160" s="144"/>
      <c r="U160" s="143"/>
      <c r="V160" s="143"/>
      <c r="W160" s="143"/>
      <c r="X160" s="143"/>
      <c r="Y160" s="145" t="e">
        <f>VLOOKUP(#REF!,#REF!,18,FALSE)</f>
        <v>#REF!</v>
      </c>
      <c r="Z160" s="146"/>
      <c r="AA160" s="147"/>
      <c r="AB160" s="147"/>
    </row>
    <row r="161" spans="1:28">
      <c r="A161" s="137"/>
      <c r="B161" s="135"/>
      <c r="C161" s="136"/>
      <c r="D161" s="137"/>
      <c r="E161" s="138"/>
      <c r="F161" s="139"/>
      <c r="G161" s="137"/>
      <c r="H161" s="137"/>
      <c r="I161" s="140"/>
      <c r="J161" s="137"/>
      <c r="K161" s="137"/>
      <c r="L161" s="137"/>
      <c r="M161" s="141"/>
      <c r="N161" s="142"/>
      <c r="O161" s="141"/>
      <c r="P161" s="142"/>
      <c r="Q161" s="143"/>
      <c r="R161" s="143"/>
      <c r="S161" s="143"/>
      <c r="T161" s="144"/>
      <c r="U161" s="143"/>
      <c r="V161" s="143"/>
      <c r="W161" s="143"/>
      <c r="X161" s="143"/>
      <c r="Y161" s="145" t="e">
        <f>VLOOKUP(#REF!,#REF!,18,FALSE)</f>
        <v>#REF!</v>
      </c>
      <c r="Z161" s="146"/>
      <c r="AA161" s="147"/>
      <c r="AB161" s="147"/>
    </row>
    <row r="162" spans="1:28">
      <c r="A162" s="137"/>
      <c r="B162" s="135"/>
      <c r="C162" s="136"/>
      <c r="D162" s="137"/>
      <c r="E162" s="138"/>
      <c r="F162" s="139"/>
      <c r="G162" s="137"/>
      <c r="H162" s="137"/>
      <c r="I162" s="140"/>
      <c r="J162" s="137"/>
      <c r="K162" s="137"/>
      <c r="L162" s="137"/>
      <c r="M162" s="141"/>
      <c r="N162" s="142"/>
      <c r="O162" s="141"/>
      <c r="P162" s="142"/>
      <c r="Q162" s="143"/>
      <c r="R162" s="143"/>
      <c r="S162" s="143"/>
      <c r="T162" s="144"/>
      <c r="U162" s="143"/>
      <c r="V162" s="143"/>
      <c r="W162" s="143"/>
      <c r="X162" s="143"/>
      <c r="Y162" s="145" t="e">
        <f>VLOOKUP(#REF!,#REF!,18,FALSE)</f>
        <v>#REF!</v>
      </c>
      <c r="Z162" s="146"/>
      <c r="AA162" s="147"/>
      <c r="AB162" s="147"/>
    </row>
    <row r="163" spans="1:28">
      <c r="A163" s="137"/>
      <c r="B163" s="135"/>
      <c r="C163" s="136"/>
      <c r="D163" s="137"/>
      <c r="E163" s="138"/>
      <c r="F163" s="139"/>
      <c r="G163" s="137"/>
      <c r="H163" s="137"/>
      <c r="I163" s="140"/>
      <c r="J163" s="137"/>
      <c r="K163" s="137"/>
      <c r="L163" s="137"/>
      <c r="M163" s="141"/>
      <c r="N163" s="142"/>
      <c r="O163" s="141"/>
      <c r="P163" s="142"/>
      <c r="Q163" s="143"/>
      <c r="R163" s="143"/>
      <c r="S163" s="143"/>
      <c r="T163" s="144"/>
      <c r="U163" s="143"/>
      <c r="V163" s="143"/>
      <c r="W163" s="143"/>
      <c r="X163" s="143"/>
      <c r="Y163" s="145" t="e">
        <f>VLOOKUP(#REF!,#REF!,18,FALSE)</f>
        <v>#REF!</v>
      </c>
      <c r="Z163" s="146"/>
      <c r="AA163" s="147"/>
      <c r="AB163" s="147"/>
    </row>
    <row r="164" spans="1:28">
      <c r="A164" s="137"/>
      <c r="B164" s="135"/>
      <c r="C164" s="136"/>
      <c r="D164" s="137"/>
      <c r="E164" s="138"/>
      <c r="F164" s="139"/>
      <c r="G164" s="137"/>
      <c r="H164" s="137"/>
      <c r="I164" s="140"/>
      <c r="J164" s="137"/>
      <c r="K164" s="137"/>
      <c r="L164" s="137"/>
      <c r="M164" s="141"/>
      <c r="N164" s="142"/>
      <c r="O164" s="141"/>
      <c r="P164" s="142"/>
      <c r="Q164" s="143"/>
      <c r="R164" s="143"/>
      <c r="S164" s="143"/>
      <c r="T164" s="144"/>
      <c r="U164" s="143"/>
      <c r="V164" s="143"/>
      <c r="W164" s="143"/>
      <c r="X164" s="143"/>
      <c r="Y164" s="145" t="e">
        <f>VLOOKUP(#REF!,#REF!,18,FALSE)</f>
        <v>#REF!</v>
      </c>
      <c r="Z164" s="146"/>
      <c r="AA164" s="147"/>
      <c r="AB164" s="147"/>
    </row>
    <row r="165" spans="1:28">
      <c r="A165" s="137"/>
      <c r="B165" s="135"/>
      <c r="C165" s="136"/>
      <c r="D165" s="137"/>
      <c r="E165" s="138"/>
      <c r="F165" s="139"/>
      <c r="G165" s="137"/>
      <c r="H165" s="137"/>
      <c r="I165" s="140"/>
      <c r="J165" s="137"/>
      <c r="K165" s="137"/>
      <c r="L165" s="137"/>
      <c r="M165" s="141"/>
      <c r="N165" s="142"/>
      <c r="O165" s="141"/>
      <c r="P165" s="142"/>
      <c r="Q165" s="143"/>
      <c r="R165" s="143"/>
      <c r="S165" s="143"/>
      <c r="T165" s="144"/>
      <c r="U165" s="143"/>
      <c r="V165" s="143"/>
      <c r="W165" s="143"/>
      <c r="X165" s="143"/>
      <c r="Y165" s="145" t="e">
        <f>VLOOKUP(#REF!,#REF!,18,FALSE)</f>
        <v>#REF!</v>
      </c>
      <c r="Z165" s="146"/>
      <c r="AA165" s="147"/>
      <c r="AB165" s="147"/>
    </row>
    <row r="166" spans="1:28">
      <c r="A166" s="137"/>
      <c r="B166" s="135"/>
      <c r="C166" s="136"/>
      <c r="D166" s="137"/>
      <c r="E166" s="138"/>
      <c r="F166" s="139"/>
      <c r="G166" s="137"/>
      <c r="H166" s="137"/>
      <c r="I166" s="140"/>
      <c r="J166" s="137"/>
      <c r="K166" s="137"/>
      <c r="L166" s="137"/>
      <c r="M166" s="141"/>
      <c r="N166" s="142"/>
      <c r="O166" s="141"/>
      <c r="P166" s="142"/>
      <c r="Q166" s="143"/>
      <c r="R166" s="143"/>
      <c r="S166" s="143"/>
      <c r="T166" s="144"/>
      <c r="U166" s="143"/>
      <c r="V166" s="143"/>
      <c r="W166" s="143"/>
      <c r="X166" s="143"/>
      <c r="Y166" s="145" t="e">
        <f>VLOOKUP(#REF!,#REF!,18,FALSE)</f>
        <v>#REF!</v>
      </c>
      <c r="Z166" s="146"/>
      <c r="AA166" s="147"/>
      <c r="AB166" s="147"/>
    </row>
    <row r="167" spans="1:28">
      <c r="A167" s="137"/>
      <c r="B167" s="135"/>
      <c r="C167" s="136"/>
      <c r="D167" s="137"/>
      <c r="E167" s="138"/>
      <c r="F167" s="139"/>
      <c r="G167" s="137"/>
      <c r="H167" s="137"/>
      <c r="I167" s="140"/>
      <c r="J167" s="137"/>
      <c r="K167" s="137"/>
      <c r="L167" s="137"/>
      <c r="M167" s="141"/>
      <c r="N167" s="142"/>
      <c r="O167" s="141"/>
      <c r="P167" s="142"/>
      <c r="Q167" s="143"/>
      <c r="R167" s="143"/>
      <c r="S167" s="143"/>
      <c r="T167" s="144"/>
      <c r="U167" s="143"/>
      <c r="V167" s="143"/>
      <c r="W167" s="143"/>
      <c r="X167" s="143"/>
      <c r="Y167" s="145" t="e">
        <f>VLOOKUP(#REF!,#REF!,18,FALSE)</f>
        <v>#REF!</v>
      </c>
      <c r="Z167" s="146"/>
      <c r="AA167" s="147"/>
      <c r="AB167" s="147"/>
    </row>
    <row r="168" spans="1:28">
      <c r="A168" s="137"/>
      <c r="B168" s="135"/>
      <c r="C168" s="136"/>
      <c r="D168" s="137"/>
      <c r="E168" s="138"/>
      <c r="F168" s="139"/>
      <c r="G168" s="137"/>
      <c r="H168" s="137"/>
      <c r="I168" s="140"/>
      <c r="J168" s="137"/>
      <c r="K168" s="137"/>
      <c r="L168" s="137"/>
      <c r="M168" s="141"/>
      <c r="N168" s="142"/>
      <c r="O168" s="141"/>
      <c r="P168" s="142"/>
      <c r="Q168" s="143"/>
      <c r="R168" s="143"/>
      <c r="S168" s="143"/>
      <c r="T168" s="144"/>
      <c r="U168" s="143"/>
      <c r="V168" s="143"/>
      <c r="W168" s="143"/>
      <c r="X168" s="143"/>
      <c r="Y168" s="145" t="e">
        <f>VLOOKUP(#REF!,#REF!,18,FALSE)</f>
        <v>#REF!</v>
      </c>
      <c r="Z168" s="146"/>
      <c r="AA168" s="147"/>
      <c r="AB168" s="147"/>
    </row>
    <row r="169" spans="1:28">
      <c r="A169" s="137"/>
      <c r="B169" s="135"/>
      <c r="C169" s="136"/>
      <c r="D169" s="137"/>
      <c r="E169" s="138"/>
      <c r="F169" s="139"/>
      <c r="G169" s="137"/>
      <c r="H169" s="137"/>
      <c r="I169" s="140"/>
      <c r="J169" s="137"/>
      <c r="K169" s="137"/>
      <c r="L169" s="137"/>
      <c r="M169" s="141"/>
      <c r="N169" s="142"/>
      <c r="O169" s="141"/>
      <c r="P169" s="142"/>
      <c r="Q169" s="143"/>
      <c r="R169" s="143"/>
      <c r="S169" s="143"/>
      <c r="T169" s="144"/>
      <c r="U169" s="143"/>
      <c r="V169" s="143"/>
      <c r="W169" s="143"/>
      <c r="X169" s="143"/>
      <c r="Y169" s="145" t="e">
        <f>VLOOKUP(#REF!,#REF!,18,FALSE)</f>
        <v>#REF!</v>
      </c>
      <c r="Z169" s="146"/>
      <c r="AA169" s="147"/>
      <c r="AB169" s="147"/>
    </row>
    <row r="170" spans="1:28">
      <c r="A170" s="137"/>
      <c r="B170" s="135"/>
      <c r="C170" s="136"/>
      <c r="D170" s="137"/>
      <c r="E170" s="138"/>
      <c r="F170" s="139"/>
      <c r="G170" s="137"/>
      <c r="H170" s="137"/>
      <c r="I170" s="140"/>
      <c r="J170" s="137"/>
      <c r="K170" s="137"/>
      <c r="L170" s="137"/>
      <c r="M170" s="141"/>
      <c r="N170" s="142"/>
      <c r="O170" s="141"/>
      <c r="P170" s="142"/>
      <c r="Q170" s="143"/>
      <c r="R170" s="143"/>
      <c r="S170" s="143"/>
      <c r="T170" s="144"/>
      <c r="U170" s="143"/>
      <c r="V170" s="143"/>
      <c r="W170" s="143"/>
      <c r="X170" s="143"/>
      <c r="Y170" s="145" t="e">
        <f>VLOOKUP(#REF!,#REF!,18,FALSE)</f>
        <v>#REF!</v>
      </c>
      <c r="Z170" s="146"/>
      <c r="AA170" s="147"/>
      <c r="AB170" s="147"/>
    </row>
    <row r="171" spans="1:28">
      <c r="A171" s="137"/>
      <c r="B171" s="135"/>
      <c r="C171" s="136"/>
      <c r="D171" s="137"/>
      <c r="E171" s="138"/>
      <c r="F171" s="139"/>
      <c r="G171" s="137"/>
      <c r="H171" s="137"/>
      <c r="I171" s="140"/>
      <c r="J171" s="140"/>
      <c r="K171" s="140"/>
      <c r="L171" s="137"/>
      <c r="M171" s="141"/>
      <c r="N171" s="142"/>
      <c r="O171" s="141"/>
      <c r="P171" s="142"/>
      <c r="Q171" s="143"/>
      <c r="R171" s="143"/>
      <c r="S171" s="143"/>
      <c r="T171" s="144"/>
      <c r="U171" s="143"/>
      <c r="V171" s="143"/>
      <c r="W171" s="143"/>
      <c r="X171" s="143"/>
      <c r="Y171" s="145" t="e">
        <f>VLOOKUP(#REF!,#REF!,18,FALSE)</f>
        <v>#REF!</v>
      </c>
      <c r="Z171" s="146"/>
      <c r="AA171" s="147"/>
      <c r="AB171" s="147"/>
    </row>
    <row r="172" spans="1:28">
      <c r="A172" s="137"/>
      <c r="B172" s="135"/>
      <c r="C172" s="136"/>
      <c r="D172" s="137"/>
      <c r="E172" s="138"/>
      <c r="F172" s="139"/>
      <c r="G172" s="137"/>
      <c r="H172" s="137"/>
      <c r="I172" s="140"/>
      <c r="J172" s="140"/>
      <c r="K172" s="140"/>
      <c r="L172" s="137"/>
      <c r="M172" s="141"/>
      <c r="N172" s="142"/>
      <c r="O172" s="141"/>
      <c r="P172" s="142"/>
      <c r="Q172" s="143"/>
      <c r="R172" s="143"/>
      <c r="S172" s="143"/>
      <c r="T172" s="144"/>
      <c r="U172" s="143"/>
      <c r="V172" s="143"/>
      <c r="W172" s="143"/>
      <c r="X172" s="143"/>
      <c r="Y172" s="145" t="e">
        <f>VLOOKUP(#REF!,#REF!,18,FALSE)</f>
        <v>#REF!</v>
      </c>
      <c r="Z172" s="146"/>
      <c r="AA172" s="147"/>
      <c r="AB172" s="147"/>
    </row>
    <row r="173" spans="1:28">
      <c r="A173" s="137"/>
      <c r="B173" s="135"/>
      <c r="C173" s="136"/>
      <c r="D173" s="137"/>
      <c r="E173" s="138"/>
      <c r="F173" s="139"/>
      <c r="G173" s="137"/>
      <c r="H173" s="137"/>
      <c r="I173" s="140"/>
      <c r="J173" s="140"/>
      <c r="K173" s="140"/>
      <c r="L173" s="137"/>
      <c r="M173" s="141"/>
      <c r="N173" s="142"/>
      <c r="O173" s="141"/>
      <c r="P173" s="142"/>
      <c r="Q173" s="143"/>
      <c r="R173" s="143"/>
      <c r="S173" s="143"/>
      <c r="T173" s="144"/>
      <c r="U173" s="143"/>
      <c r="V173" s="143"/>
      <c r="W173" s="143"/>
      <c r="X173" s="143"/>
      <c r="Y173" s="145" t="e">
        <f>VLOOKUP(#REF!,#REF!,18,FALSE)</f>
        <v>#REF!</v>
      </c>
      <c r="Z173" s="146"/>
      <c r="AA173" s="147"/>
      <c r="AB173" s="147"/>
    </row>
    <row r="174" spans="1:28">
      <c r="A174" s="137"/>
      <c r="B174" s="135"/>
      <c r="C174" s="136"/>
      <c r="D174" s="137"/>
      <c r="E174" s="138"/>
      <c r="F174" s="139"/>
      <c r="G174" s="137"/>
      <c r="H174" s="137"/>
      <c r="I174" s="140"/>
      <c r="J174" s="140"/>
      <c r="K174" s="140"/>
      <c r="L174" s="137"/>
      <c r="M174" s="141"/>
      <c r="N174" s="142"/>
      <c r="O174" s="141"/>
      <c r="P174" s="142"/>
      <c r="Q174" s="143"/>
      <c r="R174" s="143"/>
      <c r="S174" s="143"/>
      <c r="T174" s="144"/>
      <c r="U174" s="143"/>
      <c r="V174" s="143"/>
      <c r="W174" s="143"/>
      <c r="X174" s="143"/>
      <c r="Y174" s="145" t="e">
        <f>VLOOKUP(#REF!,#REF!,18,FALSE)</f>
        <v>#REF!</v>
      </c>
      <c r="Z174" s="146"/>
      <c r="AA174" s="147"/>
      <c r="AB174" s="147"/>
    </row>
    <row r="175" spans="1:28">
      <c r="A175" s="137"/>
      <c r="B175" s="135"/>
      <c r="C175" s="136"/>
      <c r="D175" s="137"/>
      <c r="E175" s="138"/>
      <c r="F175" s="139"/>
      <c r="G175" s="137"/>
      <c r="H175" s="137"/>
      <c r="I175" s="140"/>
      <c r="J175" s="140"/>
      <c r="K175" s="140"/>
      <c r="L175" s="137"/>
      <c r="M175" s="141"/>
      <c r="N175" s="142"/>
      <c r="O175" s="141"/>
      <c r="P175" s="142"/>
      <c r="Q175" s="143"/>
      <c r="R175" s="143"/>
      <c r="S175" s="143"/>
      <c r="T175" s="144"/>
      <c r="U175" s="143"/>
      <c r="V175" s="143"/>
      <c r="W175" s="143"/>
      <c r="X175" s="143"/>
      <c r="Y175" s="145" t="e">
        <f>VLOOKUP(#REF!,#REF!,18,FALSE)</f>
        <v>#REF!</v>
      </c>
      <c r="Z175" s="146"/>
      <c r="AA175" s="147"/>
      <c r="AB175" s="147"/>
    </row>
    <row r="176" spans="1:28">
      <c r="A176" s="137"/>
      <c r="B176" s="135"/>
      <c r="C176" s="136"/>
      <c r="D176" s="137"/>
      <c r="E176" s="138"/>
      <c r="F176" s="139"/>
      <c r="G176" s="137"/>
      <c r="H176" s="137"/>
      <c r="I176" s="140"/>
      <c r="J176" s="140"/>
      <c r="K176" s="140"/>
      <c r="L176" s="137"/>
      <c r="M176" s="141"/>
      <c r="N176" s="142"/>
      <c r="O176" s="141"/>
      <c r="P176" s="142"/>
      <c r="Q176" s="143"/>
      <c r="R176" s="143"/>
      <c r="S176" s="143"/>
      <c r="T176" s="144"/>
      <c r="U176" s="143"/>
      <c r="V176" s="143"/>
      <c r="W176" s="143"/>
      <c r="X176" s="143"/>
      <c r="Y176" s="145" t="e">
        <f>VLOOKUP(#REF!,#REF!,18,FALSE)</f>
        <v>#REF!</v>
      </c>
      <c r="Z176" s="146"/>
      <c r="AA176" s="147"/>
      <c r="AB176" s="147"/>
    </row>
    <row r="177" spans="1:28">
      <c r="A177" s="137"/>
      <c r="B177" s="135"/>
      <c r="C177" s="136"/>
      <c r="D177" s="137"/>
      <c r="E177" s="138"/>
      <c r="F177" s="139"/>
      <c r="G177" s="137"/>
      <c r="H177" s="137"/>
      <c r="I177" s="140"/>
      <c r="J177" s="140"/>
      <c r="K177" s="140"/>
      <c r="L177" s="137"/>
      <c r="M177" s="141"/>
      <c r="N177" s="142"/>
      <c r="O177" s="141"/>
      <c r="P177" s="142"/>
      <c r="Q177" s="143"/>
      <c r="R177" s="143"/>
      <c r="S177" s="143"/>
      <c r="T177" s="144"/>
      <c r="U177" s="143"/>
      <c r="V177" s="143"/>
      <c r="W177" s="143"/>
      <c r="X177" s="143"/>
      <c r="Y177" s="145" t="e">
        <f>VLOOKUP(#REF!,#REF!,18,FALSE)</f>
        <v>#REF!</v>
      </c>
      <c r="Z177" s="146"/>
      <c r="AA177" s="147"/>
      <c r="AB177" s="147"/>
    </row>
    <row r="178" spans="1:28">
      <c r="A178" s="137"/>
      <c r="B178" s="135"/>
      <c r="C178" s="136"/>
      <c r="D178" s="137"/>
      <c r="E178" s="138"/>
      <c r="F178" s="139"/>
      <c r="G178" s="137"/>
      <c r="H178" s="137"/>
      <c r="I178" s="140"/>
      <c r="J178" s="140"/>
      <c r="K178" s="140"/>
      <c r="L178" s="137"/>
      <c r="M178" s="141"/>
      <c r="N178" s="142"/>
      <c r="O178" s="141"/>
      <c r="P178" s="142"/>
      <c r="Q178" s="143"/>
      <c r="R178" s="143"/>
      <c r="S178" s="143"/>
      <c r="T178" s="144"/>
      <c r="U178" s="143"/>
      <c r="V178" s="143"/>
      <c r="W178" s="143"/>
      <c r="X178" s="143"/>
      <c r="Y178" s="145" t="e">
        <f>VLOOKUP(#REF!,#REF!,18,FALSE)</f>
        <v>#REF!</v>
      </c>
      <c r="Z178" s="146"/>
      <c r="AA178" s="147"/>
      <c r="AB178" s="147"/>
    </row>
    <row r="179" spans="1:28">
      <c r="A179" s="137"/>
      <c r="B179" s="135"/>
      <c r="C179" s="136"/>
      <c r="D179" s="137"/>
      <c r="E179" s="138"/>
      <c r="F179" s="139"/>
      <c r="G179" s="137"/>
      <c r="H179" s="137"/>
      <c r="I179" s="140"/>
      <c r="J179" s="140"/>
      <c r="K179" s="140"/>
      <c r="L179" s="137"/>
      <c r="M179" s="141"/>
      <c r="N179" s="142"/>
      <c r="O179" s="141"/>
      <c r="P179" s="142"/>
      <c r="Q179" s="143"/>
      <c r="R179" s="143"/>
      <c r="S179" s="143"/>
      <c r="T179" s="144"/>
      <c r="U179" s="143"/>
      <c r="V179" s="143"/>
      <c r="W179" s="143"/>
      <c r="X179" s="143"/>
      <c r="Y179" s="145" t="e">
        <f>VLOOKUP(#REF!,#REF!,18,FALSE)</f>
        <v>#REF!</v>
      </c>
      <c r="Z179" s="146"/>
      <c r="AA179" s="147"/>
      <c r="AB179" s="147"/>
    </row>
    <row r="180" spans="1:28">
      <c r="A180" s="137"/>
      <c r="B180" s="135"/>
      <c r="C180" s="136"/>
      <c r="D180" s="137"/>
      <c r="E180" s="138"/>
      <c r="F180" s="139"/>
      <c r="G180" s="137"/>
      <c r="H180" s="137"/>
      <c r="I180" s="140"/>
      <c r="J180" s="140"/>
      <c r="K180" s="140"/>
      <c r="L180" s="137"/>
      <c r="M180" s="141"/>
      <c r="N180" s="142"/>
      <c r="O180" s="141"/>
      <c r="P180" s="142"/>
      <c r="Q180" s="143"/>
      <c r="R180" s="143"/>
      <c r="S180" s="143"/>
      <c r="T180" s="144"/>
      <c r="U180" s="143"/>
      <c r="V180" s="143"/>
      <c r="W180" s="143"/>
      <c r="X180" s="143"/>
      <c r="Y180" s="145" t="e">
        <f>VLOOKUP(#REF!,#REF!,18,FALSE)</f>
        <v>#REF!</v>
      </c>
      <c r="Z180" s="146"/>
      <c r="AA180" s="147"/>
      <c r="AB180" s="147"/>
    </row>
    <row r="181" spans="1:28">
      <c r="A181" s="137"/>
      <c r="B181" s="135"/>
      <c r="C181" s="136"/>
      <c r="D181" s="137"/>
      <c r="E181" s="138"/>
      <c r="F181" s="139"/>
      <c r="G181" s="137"/>
      <c r="H181" s="137"/>
      <c r="I181" s="140"/>
      <c r="J181" s="140"/>
      <c r="K181" s="140"/>
      <c r="L181" s="137"/>
      <c r="M181" s="141"/>
      <c r="N181" s="142"/>
      <c r="O181" s="141"/>
      <c r="P181" s="142"/>
      <c r="Q181" s="143"/>
      <c r="R181" s="143"/>
      <c r="S181" s="143"/>
      <c r="T181" s="144"/>
      <c r="U181" s="143"/>
      <c r="V181" s="143"/>
      <c r="W181" s="143"/>
      <c r="X181" s="143"/>
      <c r="Y181" s="145" t="e">
        <f>VLOOKUP(#REF!,#REF!,18,FALSE)</f>
        <v>#REF!</v>
      </c>
      <c r="Z181" s="146"/>
      <c r="AA181" s="147"/>
      <c r="AB181" s="147"/>
    </row>
    <row r="182" spans="1:28">
      <c r="A182" s="137"/>
      <c r="B182" s="135"/>
      <c r="C182" s="136"/>
      <c r="D182" s="137"/>
      <c r="E182" s="138"/>
      <c r="F182" s="139"/>
      <c r="G182" s="137"/>
      <c r="H182" s="137"/>
      <c r="I182" s="140"/>
      <c r="J182" s="140"/>
      <c r="K182" s="140"/>
      <c r="L182" s="137"/>
      <c r="M182" s="141"/>
      <c r="N182" s="142"/>
      <c r="O182" s="141"/>
      <c r="P182" s="142"/>
      <c r="Q182" s="143"/>
      <c r="R182" s="143"/>
      <c r="S182" s="143"/>
      <c r="T182" s="144"/>
      <c r="U182" s="143"/>
      <c r="V182" s="143"/>
      <c r="W182" s="143"/>
      <c r="X182" s="143"/>
      <c r="Y182" s="145" t="e">
        <f>VLOOKUP(#REF!,#REF!,18,FALSE)</f>
        <v>#REF!</v>
      </c>
      <c r="Z182" s="146"/>
      <c r="AA182" s="147"/>
      <c r="AB182" s="147"/>
    </row>
    <row r="183" spans="1:28">
      <c r="A183" s="137"/>
      <c r="B183" s="135"/>
      <c r="C183" s="136"/>
      <c r="D183" s="137"/>
      <c r="E183" s="138"/>
      <c r="F183" s="139"/>
      <c r="G183" s="137"/>
      <c r="H183" s="137"/>
      <c r="I183" s="140"/>
      <c r="J183" s="140"/>
      <c r="K183" s="140"/>
      <c r="L183" s="137"/>
      <c r="M183" s="141"/>
      <c r="N183" s="142"/>
      <c r="O183" s="141"/>
      <c r="P183" s="142"/>
      <c r="Q183" s="143"/>
      <c r="R183" s="143"/>
      <c r="S183" s="143"/>
      <c r="T183" s="144"/>
      <c r="U183" s="143"/>
      <c r="V183" s="143"/>
      <c r="W183" s="143"/>
      <c r="X183" s="143"/>
      <c r="Y183" s="145" t="e">
        <f>VLOOKUP(#REF!,#REF!,18,FALSE)</f>
        <v>#REF!</v>
      </c>
      <c r="Z183" s="146"/>
      <c r="AA183" s="147"/>
      <c r="AB183" s="147"/>
    </row>
    <row r="184" spans="1:28">
      <c r="A184" s="137"/>
      <c r="B184" s="135"/>
      <c r="C184" s="136"/>
      <c r="D184" s="137"/>
      <c r="E184" s="138"/>
      <c r="F184" s="139"/>
      <c r="G184" s="137"/>
      <c r="H184" s="137"/>
      <c r="I184" s="140"/>
      <c r="J184" s="140"/>
      <c r="K184" s="140"/>
      <c r="L184" s="137"/>
      <c r="M184" s="141"/>
      <c r="N184" s="142"/>
      <c r="O184" s="141"/>
      <c r="P184" s="142"/>
      <c r="Q184" s="143"/>
      <c r="R184" s="143"/>
      <c r="S184" s="143"/>
      <c r="T184" s="144"/>
      <c r="U184" s="143"/>
      <c r="V184" s="143"/>
      <c r="W184" s="143"/>
      <c r="X184" s="143"/>
      <c r="Y184" s="145" t="e">
        <f>VLOOKUP(#REF!,#REF!,18,FALSE)</f>
        <v>#REF!</v>
      </c>
      <c r="Z184" s="146"/>
      <c r="AA184" s="147"/>
      <c r="AB184" s="147"/>
    </row>
    <row r="185" spans="1:28">
      <c r="A185" s="137"/>
      <c r="B185" s="135"/>
      <c r="C185" s="136"/>
      <c r="D185" s="137"/>
      <c r="E185" s="138"/>
      <c r="F185" s="139"/>
      <c r="G185" s="137"/>
      <c r="H185" s="137"/>
      <c r="I185" s="140"/>
      <c r="J185" s="140"/>
      <c r="K185" s="140"/>
      <c r="L185" s="137"/>
      <c r="M185" s="141"/>
      <c r="N185" s="142"/>
      <c r="O185" s="141"/>
      <c r="P185" s="142"/>
      <c r="Q185" s="143"/>
      <c r="R185" s="143"/>
      <c r="S185" s="143"/>
      <c r="T185" s="144"/>
      <c r="U185" s="143"/>
      <c r="V185" s="143"/>
      <c r="W185" s="143"/>
      <c r="X185" s="143"/>
      <c r="Y185" s="145" t="e">
        <f>VLOOKUP(#REF!,#REF!,18,FALSE)</f>
        <v>#REF!</v>
      </c>
      <c r="Z185" s="146"/>
      <c r="AA185" s="147"/>
      <c r="AB185" s="147"/>
    </row>
    <row r="186" spans="1:28">
      <c r="A186" s="137"/>
      <c r="B186" s="135"/>
      <c r="C186" s="136"/>
      <c r="D186" s="137"/>
      <c r="E186" s="138"/>
      <c r="F186" s="139"/>
      <c r="G186" s="137"/>
      <c r="H186" s="137"/>
      <c r="I186" s="140"/>
      <c r="J186" s="140"/>
      <c r="K186" s="140"/>
      <c r="L186" s="137"/>
      <c r="M186" s="141"/>
      <c r="N186" s="142"/>
      <c r="O186" s="141"/>
      <c r="P186" s="142"/>
      <c r="Q186" s="143"/>
      <c r="R186" s="143"/>
      <c r="S186" s="143"/>
      <c r="T186" s="144"/>
      <c r="U186" s="143"/>
      <c r="V186" s="143"/>
      <c r="W186" s="143"/>
      <c r="X186" s="143"/>
      <c r="Y186" s="145" t="e">
        <f>VLOOKUP(#REF!,#REF!,18,FALSE)</f>
        <v>#REF!</v>
      </c>
      <c r="Z186" s="146"/>
      <c r="AA186" s="147"/>
      <c r="AB186" s="147"/>
    </row>
    <row r="187" spans="1:28">
      <c r="A187" s="137"/>
      <c r="B187" s="135"/>
      <c r="C187" s="136"/>
      <c r="D187" s="137"/>
      <c r="E187" s="138"/>
      <c r="F187" s="139"/>
      <c r="G187" s="137"/>
      <c r="H187" s="137"/>
      <c r="I187" s="140"/>
      <c r="J187" s="140"/>
      <c r="K187" s="140"/>
      <c r="L187" s="137"/>
      <c r="M187" s="141"/>
      <c r="N187" s="142"/>
      <c r="O187" s="141"/>
      <c r="P187" s="142"/>
      <c r="Q187" s="143"/>
      <c r="R187" s="143"/>
      <c r="S187" s="143"/>
      <c r="T187" s="144"/>
      <c r="U187" s="143"/>
      <c r="V187" s="143"/>
      <c r="W187" s="143"/>
      <c r="X187" s="143"/>
      <c r="Y187" s="145" t="e">
        <f>VLOOKUP(#REF!,#REF!,18,FALSE)</f>
        <v>#REF!</v>
      </c>
      <c r="Z187" s="146"/>
      <c r="AA187" s="147"/>
      <c r="AB187" s="147"/>
    </row>
    <row r="188" spans="1:28">
      <c r="A188" s="137"/>
      <c r="B188" s="135"/>
      <c r="C188" s="136"/>
      <c r="D188" s="137"/>
      <c r="E188" s="138"/>
      <c r="F188" s="139"/>
      <c r="G188" s="137"/>
      <c r="H188" s="137"/>
      <c r="I188" s="140"/>
      <c r="J188" s="140"/>
      <c r="K188" s="140"/>
      <c r="L188" s="137"/>
      <c r="M188" s="141"/>
      <c r="N188" s="142"/>
      <c r="O188" s="141"/>
      <c r="P188" s="142"/>
      <c r="Q188" s="143"/>
      <c r="R188" s="143"/>
      <c r="S188" s="143"/>
      <c r="T188" s="144"/>
      <c r="U188" s="143"/>
      <c r="V188" s="143"/>
      <c r="W188" s="143"/>
      <c r="X188" s="143"/>
      <c r="Y188" s="145" t="e">
        <f>VLOOKUP(#REF!,#REF!,18,FALSE)</f>
        <v>#REF!</v>
      </c>
      <c r="Z188" s="146"/>
      <c r="AA188" s="147"/>
      <c r="AB188" s="147"/>
    </row>
    <row r="189" spans="1:28">
      <c r="A189" s="137"/>
      <c r="B189" s="135"/>
      <c r="C189" s="136"/>
      <c r="D189" s="137"/>
      <c r="E189" s="138"/>
      <c r="F189" s="139"/>
      <c r="G189" s="137"/>
      <c r="H189" s="137"/>
      <c r="I189" s="140"/>
      <c r="J189" s="140"/>
      <c r="K189" s="140"/>
      <c r="L189" s="137"/>
      <c r="M189" s="141"/>
      <c r="N189" s="142"/>
      <c r="O189" s="141"/>
      <c r="P189" s="142"/>
      <c r="Q189" s="143"/>
      <c r="R189" s="143"/>
      <c r="S189" s="143"/>
      <c r="T189" s="144"/>
      <c r="U189" s="143"/>
      <c r="V189" s="143"/>
      <c r="W189" s="143"/>
      <c r="X189" s="143"/>
      <c r="Y189" s="145" t="e">
        <f>VLOOKUP(#REF!,#REF!,18,FALSE)</f>
        <v>#REF!</v>
      </c>
      <c r="Z189" s="146"/>
      <c r="AA189" s="147"/>
      <c r="AB189" s="147"/>
    </row>
    <row r="190" spans="1:28">
      <c r="A190" s="137"/>
      <c r="B190" s="135"/>
      <c r="C190" s="136"/>
      <c r="D190" s="137"/>
      <c r="E190" s="138"/>
      <c r="F190" s="139"/>
      <c r="G190" s="137"/>
      <c r="H190" s="137"/>
      <c r="I190" s="140"/>
      <c r="J190" s="140"/>
      <c r="K190" s="140"/>
      <c r="L190" s="137"/>
      <c r="M190" s="141"/>
      <c r="N190" s="142"/>
      <c r="O190" s="141"/>
      <c r="P190" s="142"/>
      <c r="Q190" s="143"/>
      <c r="R190" s="143"/>
      <c r="S190" s="143"/>
      <c r="T190" s="144"/>
      <c r="U190" s="143"/>
      <c r="V190" s="143"/>
      <c r="W190" s="143"/>
      <c r="X190" s="143"/>
      <c r="Y190" s="145" t="e">
        <f>VLOOKUP(#REF!,#REF!,18,FALSE)</f>
        <v>#REF!</v>
      </c>
      <c r="Z190" s="146"/>
      <c r="AA190" s="147"/>
      <c r="AB190" s="147"/>
    </row>
    <row r="191" spans="1:28">
      <c r="A191" s="137"/>
      <c r="B191" s="135"/>
      <c r="C191" s="136"/>
      <c r="D191" s="137"/>
      <c r="E191" s="138"/>
      <c r="F191" s="139"/>
      <c r="G191" s="137"/>
      <c r="H191" s="137"/>
      <c r="I191" s="140"/>
      <c r="J191" s="140"/>
      <c r="K191" s="140"/>
      <c r="L191" s="137"/>
      <c r="M191" s="141"/>
      <c r="N191" s="142"/>
      <c r="O191" s="141"/>
      <c r="P191" s="142"/>
      <c r="Q191" s="143"/>
      <c r="R191" s="143"/>
      <c r="S191" s="143"/>
      <c r="T191" s="144"/>
      <c r="U191" s="143"/>
      <c r="V191" s="143"/>
      <c r="W191" s="143"/>
      <c r="X191" s="143"/>
      <c r="Y191" s="145" t="e">
        <f>VLOOKUP(#REF!,#REF!,18,FALSE)</f>
        <v>#REF!</v>
      </c>
      <c r="Z191" s="146"/>
      <c r="AA191" s="147"/>
      <c r="AB191" s="147"/>
    </row>
    <row r="192" spans="1:28">
      <c r="A192" s="137"/>
      <c r="B192" s="135"/>
      <c r="C192" s="136"/>
      <c r="D192" s="137"/>
      <c r="E192" s="138"/>
      <c r="F192" s="139"/>
      <c r="G192" s="137"/>
      <c r="H192" s="137"/>
      <c r="I192" s="140"/>
      <c r="J192" s="140"/>
      <c r="K192" s="140"/>
      <c r="L192" s="137"/>
      <c r="M192" s="141"/>
      <c r="N192" s="142"/>
      <c r="O192" s="141"/>
      <c r="P192" s="142"/>
      <c r="Q192" s="143"/>
      <c r="R192" s="143"/>
      <c r="S192" s="143"/>
      <c r="T192" s="144"/>
      <c r="U192" s="143"/>
      <c r="V192" s="143"/>
      <c r="W192" s="143"/>
      <c r="X192" s="143"/>
      <c r="Y192" s="145" t="e">
        <f>VLOOKUP(#REF!,#REF!,18,FALSE)</f>
        <v>#REF!</v>
      </c>
      <c r="Z192" s="146"/>
      <c r="AA192" s="147"/>
      <c r="AB192" s="147"/>
    </row>
    <row r="193" spans="1:28">
      <c r="A193" s="137"/>
      <c r="B193" s="135"/>
      <c r="C193" s="136"/>
      <c r="D193" s="137"/>
      <c r="E193" s="138"/>
      <c r="F193" s="139"/>
      <c r="G193" s="137"/>
      <c r="H193" s="137"/>
      <c r="I193" s="140"/>
      <c r="J193" s="140"/>
      <c r="K193" s="140"/>
      <c r="L193" s="137"/>
      <c r="M193" s="141"/>
      <c r="N193" s="142"/>
      <c r="O193" s="141"/>
      <c r="P193" s="142"/>
      <c r="Q193" s="143"/>
      <c r="R193" s="143"/>
      <c r="S193" s="143"/>
      <c r="T193" s="144"/>
      <c r="U193" s="143"/>
      <c r="V193" s="143"/>
      <c r="W193" s="143"/>
      <c r="X193" s="143"/>
      <c r="Y193" s="145" t="e">
        <f>VLOOKUP(#REF!,#REF!,18,FALSE)</f>
        <v>#REF!</v>
      </c>
      <c r="Z193" s="146"/>
      <c r="AA193" s="147"/>
      <c r="AB193" s="147"/>
    </row>
    <row r="194" spans="1:28">
      <c r="A194" s="137"/>
      <c r="B194" s="135"/>
      <c r="C194" s="136"/>
      <c r="D194" s="137"/>
      <c r="E194" s="138"/>
      <c r="F194" s="139"/>
      <c r="G194" s="137"/>
      <c r="H194" s="137"/>
      <c r="I194" s="140"/>
      <c r="J194" s="140"/>
      <c r="K194" s="140"/>
      <c r="L194" s="137"/>
      <c r="M194" s="141"/>
      <c r="N194" s="142"/>
      <c r="O194" s="141"/>
      <c r="P194" s="142"/>
      <c r="Q194" s="143"/>
      <c r="R194" s="143"/>
      <c r="S194" s="143"/>
      <c r="T194" s="144"/>
      <c r="U194" s="143"/>
      <c r="V194" s="143"/>
      <c r="W194" s="143"/>
      <c r="X194" s="143"/>
      <c r="Y194" s="145" t="e">
        <f>VLOOKUP(#REF!,#REF!,18,FALSE)</f>
        <v>#REF!</v>
      </c>
      <c r="Z194" s="146"/>
      <c r="AA194" s="147"/>
      <c r="AB194" s="147"/>
    </row>
    <row r="195" spans="1:28">
      <c r="A195" s="137"/>
      <c r="B195" s="135"/>
      <c r="C195" s="136"/>
      <c r="D195" s="137"/>
      <c r="E195" s="138"/>
      <c r="F195" s="139"/>
      <c r="G195" s="137"/>
      <c r="H195" s="137"/>
      <c r="I195" s="140"/>
      <c r="J195" s="140"/>
      <c r="K195" s="140"/>
      <c r="L195" s="137"/>
      <c r="M195" s="141"/>
      <c r="N195" s="142"/>
      <c r="O195" s="141"/>
      <c r="P195" s="142"/>
      <c r="Q195" s="143"/>
      <c r="R195" s="143"/>
      <c r="S195" s="143"/>
      <c r="T195" s="144"/>
      <c r="U195" s="143"/>
      <c r="V195" s="143"/>
      <c r="W195" s="143"/>
      <c r="X195" s="143"/>
      <c r="Y195" s="145" t="e">
        <f>VLOOKUP(#REF!,#REF!,18,FALSE)</f>
        <v>#REF!</v>
      </c>
      <c r="Z195" s="146"/>
      <c r="AA195" s="147"/>
      <c r="AB195" s="147"/>
    </row>
    <row r="196" spans="1:28">
      <c r="A196" s="137"/>
      <c r="B196" s="135"/>
      <c r="C196" s="136"/>
      <c r="D196" s="137"/>
      <c r="E196" s="138"/>
      <c r="F196" s="139"/>
      <c r="G196" s="137"/>
      <c r="H196" s="137"/>
      <c r="I196" s="140"/>
      <c r="J196" s="140"/>
      <c r="K196" s="140"/>
      <c r="L196" s="137"/>
      <c r="M196" s="141"/>
      <c r="N196" s="142"/>
      <c r="O196" s="141"/>
      <c r="P196" s="142"/>
      <c r="Q196" s="143"/>
      <c r="R196" s="143"/>
      <c r="S196" s="143"/>
      <c r="T196" s="144"/>
      <c r="U196" s="143"/>
      <c r="V196" s="143"/>
      <c r="W196" s="143"/>
      <c r="X196" s="143"/>
      <c r="Y196" s="145" t="e">
        <f>VLOOKUP(#REF!,#REF!,18,FALSE)</f>
        <v>#REF!</v>
      </c>
      <c r="Z196" s="146"/>
      <c r="AA196" s="147"/>
      <c r="AB196" s="147"/>
    </row>
    <row r="197" spans="1:28">
      <c r="A197" s="137"/>
      <c r="B197" s="135"/>
      <c r="C197" s="136"/>
      <c r="D197" s="137"/>
      <c r="E197" s="138"/>
      <c r="F197" s="139"/>
      <c r="G197" s="137"/>
      <c r="H197" s="137"/>
      <c r="I197" s="140"/>
      <c r="J197" s="140"/>
      <c r="K197" s="140"/>
      <c r="L197" s="137"/>
      <c r="M197" s="141"/>
      <c r="N197" s="142"/>
      <c r="O197" s="141"/>
      <c r="P197" s="142"/>
      <c r="Q197" s="143"/>
      <c r="R197" s="143"/>
      <c r="S197" s="143"/>
      <c r="T197" s="144"/>
      <c r="U197" s="143"/>
      <c r="V197" s="143"/>
      <c r="W197" s="143"/>
      <c r="X197" s="143"/>
      <c r="Y197" s="145" t="e">
        <f>VLOOKUP(#REF!,#REF!,18,FALSE)</f>
        <v>#REF!</v>
      </c>
      <c r="Z197" s="146"/>
      <c r="AA197" s="147"/>
      <c r="AB197" s="147"/>
    </row>
    <row r="198" spans="1:28">
      <c r="A198" s="137"/>
      <c r="B198" s="135"/>
      <c r="C198" s="136"/>
      <c r="D198" s="137"/>
      <c r="E198" s="138"/>
      <c r="F198" s="139"/>
      <c r="G198" s="137"/>
      <c r="H198" s="137"/>
      <c r="I198" s="140"/>
      <c r="J198" s="140"/>
      <c r="K198" s="140"/>
      <c r="L198" s="137"/>
      <c r="M198" s="141"/>
      <c r="N198" s="142"/>
      <c r="O198" s="141"/>
      <c r="P198" s="142"/>
      <c r="Q198" s="143"/>
      <c r="R198" s="143"/>
      <c r="S198" s="143"/>
      <c r="T198" s="144"/>
      <c r="U198" s="143"/>
      <c r="V198" s="143"/>
      <c r="W198" s="143"/>
      <c r="X198" s="143"/>
      <c r="Y198" s="145" t="e">
        <f>VLOOKUP(#REF!,#REF!,18,FALSE)</f>
        <v>#REF!</v>
      </c>
      <c r="Z198" s="146"/>
      <c r="AA198" s="147"/>
      <c r="AB198" s="147"/>
    </row>
    <row r="199" spans="1:28">
      <c r="A199" s="137"/>
      <c r="B199" s="135"/>
      <c r="C199" s="136"/>
      <c r="D199" s="137"/>
      <c r="E199" s="138"/>
      <c r="F199" s="139"/>
      <c r="G199" s="137"/>
      <c r="H199" s="137"/>
      <c r="I199" s="140"/>
      <c r="J199" s="140"/>
      <c r="K199" s="140"/>
      <c r="L199" s="137"/>
      <c r="M199" s="141"/>
      <c r="N199" s="142"/>
      <c r="O199" s="141"/>
      <c r="P199" s="142"/>
      <c r="Q199" s="143"/>
      <c r="R199" s="143"/>
      <c r="S199" s="143"/>
      <c r="T199" s="144"/>
      <c r="U199" s="143"/>
      <c r="V199" s="143"/>
      <c r="W199" s="143"/>
      <c r="X199" s="143"/>
      <c r="Y199" s="145" t="e">
        <f>VLOOKUP(#REF!,#REF!,18,FALSE)</f>
        <v>#REF!</v>
      </c>
      <c r="Z199" s="146"/>
      <c r="AA199" s="147"/>
      <c r="AB199" s="147"/>
    </row>
    <row r="200" spans="1:28">
      <c r="A200" s="137"/>
      <c r="B200" s="135"/>
      <c r="C200" s="136"/>
      <c r="D200" s="137"/>
      <c r="E200" s="138"/>
      <c r="F200" s="139"/>
      <c r="G200" s="137"/>
      <c r="H200" s="137"/>
      <c r="I200" s="140"/>
      <c r="J200" s="140"/>
      <c r="K200" s="140"/>
      <c r="L200" s="137"/>
      <c r="M200" s="141"/>
      <c r="N200" s="142"/>
      <c r="O200" s="141"/>
      <c r="P200" s="142"/>
      <c r="Q200" s="143"/>
      <c r="R200" s="143"/>
      <c r="S200" s="143"/>
      <c r="T200" s="144"/>
      <c r="U200" s="143"/>
      <c r="V200" s="143"/>
      <c r="W200" s="143"/>
      <c r="X200" s="143"/>
      <c r="Y200" s="145" t="e">
        <f>VLOOKUP(#REF!,#REF!,18,FALSE)</f>
        <v>#REF!</v>
      </c>
      <c r="Z200" s="146"/>
      <c r="AA200" s="147"/>
      <c r="AB200" s="147"/>
    </row>
    <row r="201" spans="1:28">
      <c r="A201" s="137"/>
      <c r="B201" s="135"/>
      <c r="C201" s="136"/>
      <c r="D201" s="137"/>
      <c r="E201" s="138"/>
      <c r="F201" s="139"/>
      <c r="G201" s="137"/>
      <c r="H201" s="137"/>
      <c r="I201" s="140"/>
      <c r="J201" s="140"/>
      <c r="K201" s="140"/>
      <c r="L201" s="137"/>
      <c r="M201" s="141"/>
      <c r="N201" s="142"/>
      <c r="O201" s="141"/>
      <c r="P201" s="142"/>
      <c r="Q201" s="143"/>
      <c r="R201" s="143"/>
      <c r="S201" s="143"/>
      <c r="T201" s="144"/>
      <c r="U201" s="143"/>
      <c r="V201" s="143"/>
      <c r="W201" s="143"/>
      <c r="X201" s="143"/>
      <c r="Y201" s="145" t="e">
        <f>VLOOKUP(#REF!,#REF!,18,FALSE)</f>
        <v>#REF!</v>
      </c>
      <c r="Z201" s="146"/>
      <c r="AA201" s="147"/>
      <c r="AB201" s="147"/>
    </row>
    <row r="202" spans="1:28">
      <c r="A202" s="137"/>
      <c r="B202" s="135"/>
      <c r="C202" s="136"/>
      <c r="D202" s="137"/>
      <c r="E202" s="138"/>
      <c r="F202" s="139"/>
      <c r="G202" s="137"/>
      <c r="H202" s="137"/>
      <c r="I202" s="140"/>
      <c r="J202" s="140"/>
      <c r="K202" s="140"/>
      <c r="L202" s="137"/>
      <c r="M202" s="141"/>
      <c r="N202" s="142"/>
      <c r="O202" s="141"/>
      <c r="P202" s="142"/>
      <c r="Q202" s="143"/>
      <c r="R202" s="143"/>
      <c r="S202" s="143"/>
      <c r="T202" s="144"/>
      <c r="U202" s="143"/>
      <c r="V202" s="143"/>
      <c r="W202" s="143"/>
      <c r="X202" s="143"/>
      <c r="Y202" s="145" t="e">
        <f>VLOOKUP(#REF!,#REF!,18,FALSE)</f>
        <v>#REF!</v>
      </c>
      <c r="Z202" s="146"/>
      <c r="AA202" s="147"/>
      <c r="AB202" s="147"/>
    </row>
    <row r="203" spans="1:28">
      <c r="A203" s="137"/>
      <c r="B203" s="135"/>
      <c r="C203" s="136"/>
      <c r="D203" s="137"/>
      <c r="E203" s="138"/>
      <c r="F203" s="139"/>
      <c r="G203" s="137"/>
      <c r="H203" s="137"/>
      <c r="I203" s="140"/>
      <c r="J203" s="140"/>
      <c r="K203" s="140"/>
      <c r="L203" s="137"/>
      <c r="M203" s="141"/>
      <c r="N203" s="142"/>
      <c r="O203" s="141"/>
      <c r="P203" s="142"/>
      <c r="Q203" s="143"/>
      <c r="R203" s="143"/>
      <c r="S203" s="143"/>
      <c r="T203" s="144"/>
      <c r="U203" s="143"/>
      <c r="V203" s="143"/>
      <c r="W203" s="143"/>
      <c r="X203" s="143"/>
      <c r="Y203" s="145" t="e">
        <f>VLOOKUP(#REF!,#REF!,18,FALSE)</f>
        <v>#REF!</v>
      </c>
      <c r="Z203" s="146"/>
      <c r="AA203" s="147"/>
      <c r="AB203" s="147"/>
    </row>
    <row r="204" spans="1:28">
      <c r="A204" s="137"/>
      <c r="B204" s="135"/>
      <c r="C204" s="136"/>
      <c r="D204" s="137"/>
      <c r="E204" s="138"/>
      <c r="F204" s="139"/>
      <c r="G204" s="137"/>
      <c r="H204" s="137"/>
      <c r="I204" s="140"/>
      <c r="J204" s="140"/>
      <c r="K204" s="140"/>
      <c r="L204" s="137"/>
      <c r="M204" s="141"/>
      <c r="N204" s="142"/>
      <c r="O204" s="141"/>
      <c r="P204" s="142"/>
      <c r="Q204" s="143"/>
      <c r="R204" s="143"/>
      <c r="S204" s="143"/>
      <c r="T204" s="144"/>
      <c r="U204" s="143"/>
      <c r="V204" s="143"/>
      <c r="W204" s="143"/>
      <c r="X204" s="143"/>
      <c r="Y204" s="145" t="e">
        <f>VLOOKUP(#REF!,#REF!,18,FALSE)</f>
        <v>#REF!</v>
      </c>
      <c r="Z204" s="146"/>
      <c r="AA204" s="147"/>
      <c r="AB204" s="147"/>
    </row>
    <row r="205" spans="1:28">
      <c r="A205" s="137"/>
      <c r="B205" s="135"/>
      <c r="C205" s="136"/>
      <c r="D205" s="137"/>
      <c r="E205" s="138"/>
      <c r="F205" s="139"/>
      <c r="G205" s="137"/>
      <c r="H205" s="137"/>
      <c r="I205" s="140"/>
      <c r="J205" s="140"/>
      <c r="K205" s="140"/>
      <c r="L205" s="137"/>
      <c r="M205" s="141"/>
      <c r="N205" s="142"/>
      <c r="O205" s="141"/>
      <c r="P205" s="142"/>
      <c r="Q205" s="143"/>
      <c r="R205" s="143"/>
      <c r="S205" s="143"/>
      <c r="T205" s="144"/>
      <c r="U205" s="143"/>
      <c r="V205" s="143"/>
      <c r="W205" s="143"/>
      <c r="X205" s="143"/>
      <c r="Y205" s="145" t="e">
        <f>VLOOKUP(#REF!,#REF!,18,FALSE)</f>
        <v>#REF!</v>
      </c>
      <c r="Z205" s="146"/>
      <c r="AA205" s="147"/>
      <c r="AB205" s="147"/>
    </row>
    <row r="206" spans="1:28">
      <c r="A206" s="137"/>
      <c r="B206" s="135"/>
      <c r="C206" s="136"/>
      <c r="D206" s="137"/>
      <c r="E206" s="138"/>
      <c r="F206" s="139"/>
      <c r="G206" s="137"/>
      <c r="H206" s="137"/>
      <c r="I206" s="140"/>
      <c r="J206" s="140"/>
      <c r="K206" s="140"/>
      <c r="L206" s="137"/>
      <c r="M206" s="141"/>
      <c r="N206" s="142"/>
      <c r="O206" s="141"/>
      <c r="P206" s="142"/>
      <c r="Q206" s="143"/>
      <c r="R206" s="143"/>
      <c r="S206" s="143"/>
      <c r="T206" s="144"/>
      <c r="U206" s="143"/>
      <c r="V206" s="143"/>
      <c r="W206" s="143"/>
      <c r="X206" s="143"/>
      <c r="Y206" s="145" t="e">
        <f>VLOOKUP(#REF!,#REF!,18,FALSE)</f>
        <v>#REF!</v>
      </c>
      <c r="Z206" s="146"/>
      <c r="AA206" s="147"/>
      <c r="AB206" s="147"/>
    </row>
    <row r="207" spans="1:28">
      <c r="A207" s="137"/>
      <c r="B207" s="135"/>
      <c r="C207" s="136"/>
      <c r="D207" s="137"/>
      <c r="E207" s="138"/>
      <c r="F207" s="139"/>
      <c r="G207" s="137"/>
      <c r="H207" s="137"/>
      <c r="I207" s="140"/>
      <c r="J207" s="140"/>
      <c r="K207" s="140"/>
      <c r="L207" s="137"/>
      <c r="M207" s="141"/>
      <c r="N207" s="142"/>
      <c r="O207" s="141"/>
      <c r="P207" s="142"/>
      <c r="Q207" s="143"/>
      <c r="R207" s="143"/>
      <c r="S207" s="143"/>
      <c r="T207" s="144"/>
      <c r="U207" s="143"/>
      <c r="V207" s="143"/>
      <c r="W207" s="143"/>
      <c r="X207" s="143"/>
      <c r="Y207" s="145" t="e">
        <f>VLOOKUP(#REF!,#REF!,18,FALSE)</f>
        <v>#REF!</v>
      </c>
      <c r="Z207" s="146"/>
      <c r="AA207" s="147"/>
      <c r="AB207" s="147"/>
    </row>
    <row r="208" spans="1:28">
      <c r="A208" s="137"/>
      <c r="B208" s="135"/>
      <c r="C208" s="136"/>
      <c r="D208" s="137"/>
      <c r="E208" s="138"/>
      <c r="F208" s="139"/>
      <c r="G208" s="137"/>
      <c r="H208" s="137"/>
      <c r="I208" s="140"/>
      <c r="J208" s="140"/>
      <c r="K208" s="140"/>
      <c r="L208" s="137"/>
      <c r="M208" s="141"/>
      <c r="N208" s="142"/>
      <c r="O208" s="141"/>
      <c r="P208" s="142"/>
      <c r="Q208" s="143"/>
      <c r="R208" s="143"/>
      <c r="S208" s="143"/>
      <c r="T208" s="144"/>
      <c r="U208" s="143"/>
      <c r="V208" s="143"/>
      <c r="W208" s="143"/>
      <c r="X208" s="143"/>
      <c r="Y208" s="145" t="e">
        <f>VLOOKUP(#REF!,#REF!,18,FALSE)</f>
        <v>#REF!</v>
      </c>
      <c r="Z208" s="146"/>
      <c r="AA208" s="147"/>
      <c r="AB208" s="147"/>
    </row>
    <row r="209" spans="1:28">
      <c r="A209" s="137"/>
      <c r="B209" s="135"/>
      <c r="C209" s="136"/>
      <c r="D209" s="137"/>
      <c r="E209" s="138"/>
      <c r="F209" s="139"/>
      <c r="G209" s="137"/>
      <c r="H209" s="137"/>
      <c r="I209" s="140"/>
      <c r="J209" s="140"/>
      <c r="K209" s="140"/>
      <c r="L209" s="137"/>
      <c r="M209" s="141"/>
      <c r="N209" s="142"/>
      <c r="O209" s="141"/>
      <c r="P209" s="142"/>
      <c r="Q209" s="143"/>
      <c r="R209" s="143"/>
      <c r="S209" s="143"/>
      <c r="T209" s="144"/>
      <c r="U209" s="143"/>
      <c r="V209" s="143"/>
      <c r="W209" s="143"/>
      <c r="X209" s="143"/>
      <c r="Y209" s="145" t="e">
        <f>VLOOKUP(#REF!,#REF!,18,FALSE)</f>
        <v>#REF!</v>
      </c>
      <c r="Z209" s="146"/>
      <c r="AA209" s="147"/>
      <c r="AB209" s="147"/>
    </row>
    <row r="210" spans="1:28">
      <c r="A210" s="137"/>
      <c r="B210" s="135"/>
      <c r="C210" s="136"/>
      <c r="D210" s="137"/>
      <c r="E210" s="138"/>
      <c r="F210" s="139"/>
      <c r="G210" s="137"/>
      <c r="H210" s="137"/>
      <c r="I210" s="140"/>
      <c r="J210" s="140"/>
      <c r="K210" s="140"/>
      <c r="L210" s="137"/>
      <c r="M210" s="141"/>
      <c r="N210" s="142"/>
      <c r="O210" s="141"/>
      <c r="P210" s="142"/>
      <c r="Q210" s="143"/>
      <c r="R210" s="143"/>
      <c r="S210" s="143"/>
      <c r="T210" s="144"/>
      <c r="U210" s="143"/>
      <c r="V210" s="143"/>
      <c r="W210" s="143"/>
      <c r="X210" s="143"/>
      <c r="Y210" s="145" t="e">
        <f>VLOOKUP(#REF!,#REF!,18,FALSE)</f>
        <v>#REF!</v>
      </c>
      <c r="Z210" s="146"/>
      <c r="AA210" s="147"/>
      <c r="AB210" s="147"/>
    </row>
    <row r="211" spans="1:28">
      <c r="A211" s="137"/>
      <c r="B211" s="135"/>
      <c r="C211" s="136"/>
      <c r="D211" s="137"/>
      <c r="E211" s="138"/>
      <c r="F211" s="139"/>
      <c r="G211" s="137"/>
      <c r="H211" s="137"/>
      <c r="I211" s="140"/>
      <c r="J211" s="140"/>
      <c r="K211" s="140"/>
      <c r="L211" s="137"/>
      <c r="M211" s="141"/>
      <c r="N211" s="142"/>
      <c r="O211" s="141"/>
      <c r="P211" s="142"/>
      <c r="Q211" s="143"/>
      <c r="R211" s="143"/>
      <c r="S211" s="143"/>
      <c r="T211" s="144"/>
      <c r="U211" s="143"/>
      <c r="V211" s="143"/>
      <c r="W211" s="143"/>
      <c r="X211" s="143"/>
      <c r="Y211" s="145" t="e">
        <f>VLOOKUP(#REF!,#REF!,18,FALSE)</f>
        <v>#REF!</v>
      </c>
      <c r="Z211" s="146"/>
      <c r="AA211" s="147"/>
      <c r="AB211" s="147"/>
    </row>
    <row r="212" spans="1:28">
      <c r="A212" s="137"/>
      <c r="B212" s="135"/>
      <c r="C212" s="136"/>
      <c r="D212" s="137"/>
      <c r="E212" s="138"/>
      <c r="F212" s="139"/>
      <c r="G212" s="137"/>
      <c r="H212" s="137"/>
      <c r="I212" s="140"/>
      <c r="J212" s="140"/>
      <c r="K212" s="140"/>
      <c r="L212" s="137"/>
      <c r="M212" s="141"/>
      <c r="N212" s="142"/>
      <c r="O212" s="141"/>
      <c r="P212" s="142"/>
      <c r="Q212" s="143"/>
      <c r="R212" s="143"/>
      <c r="S212" s="143"/>
      <c r="T212" s="144"/>
      <c r="U212" s="143"/>
      <c r="V212" s="143"/>
      <c r="W212" s="143"/>
      <c r="X212" s="143"/>
      <c r="Y212" s="145" t="e">
        <f>VLOOKUP(#REF!,#REF!,18,FALSE)</f>
        <v>#REF!</v>
      </c>
      <c r="Z212" s="146"/>
      <c r="AA212" s="147"/>
      <c r="AB212" s="147"/>
    </row>
    <row r="213" spans="1:28">
      <c r="A213" s="137"/>
      <c r="B213" s="135"/>
      <c r="C213" s="136"/>
      <c r="D213" s="137"/>
      <c r="E213" s="138"/>
      <c r="F213" s="139"/>
      <c r="G213" s="137"/>
      <c r="H213" s="137"/>
      <c r="I213" s="140"/>
      <c r="J213" s="140"/>
      <c r="K213" s="140"/>
      <c r="L213" s="137"/>
      <c r="M213" s="141"/>
      <c r="N213" s="142"/>
      <c r="O213" s="141"/>
      <c r="P213" s="142"/>
      <c r="Q213" s="143"/>
      <c r="R213" s="143"/>
      <c r="S213" s="143"/>
      <c r="T213" s="144"/>
      <c r="U213" s="143"/>
      <c r="V213" s="143"/>
      <c r="W213" s="143"/>
      <c r="X213" s="143"/>
      <c r="Y213" s="145" t="e">
        <f>VLOOKUP(#REF!,#REF!,18,FALSE)</f>
        <v>#REF!</v>
      </c>
      <c r="Z213" s="146"/>
      <c r="AA213" s="147"/>
      <c r="AB213" s="147"/>
    </row>
    <row r="214" spans="1:28">
      <c r="A214" s="137"/>
      <c r="B214" s="135"/>
      <c r="C214" s="136"/>
      <c r="D214" s="137"/>
      <c r="E214" s="138"/>
      <c r="F214" s="139"/>
      <c r="G214" s="137"/>
      <c r="H214" s="137"/>
      <c r="I214" s="140"/>
      <c r="J214" s="140"/>
      <c r="K214" s="140"/>
      <c r="L214" s="137"/>
      <c r="M214" s="141"/>
      <c r="N214" s="142"/>
      <c r="O214" s="141"/>
      <c r="P214" s="142"/>
      <c r="Q214" s="143"/>
      <c r="R214" s="143"/>
      <c r="S214" s="143"/>
      <c r="T214" s="144"/>
      <c r="U214" s="143"/>
      <c r="V214" s="143"/>
      <c r="W214" s="143"/>
      <c r="X214" s="143"/>
      <c r="Y214" s="145" t="e">
        <f>VLOOKUP(#REF!,#REF!,18,FALSE)</f>
        <v>#REF!</v>
      </c>
      <c r="Z214" s="146"/>
      <c r="AA214" s="147"/>
      <c r="AB214" s="147"/>
    </row>
    <row r="215" spans="1:28">
      <c r="A215" s="137"/>
      <c r="B215" s="135"/>
      <c r="C215" s="136"/>
      <c r="D215" s="137"/>
      <c r="E215" s="138"/>
      <c r="F215" s="139"/>
      <c r="G215" s="137"/>
      <c r="H215" s="137"/>
      <c r="I215" s="140"/>
      <c r="J215" s="140"/>
      <c r="K215" s="140"/>
      <c r="L215" s="137"/>
      <c r="M215" s="141"/>
      <c r="N215" s="142"/>
      <c r="O215" s="141"/>
      <c r="P215" s="142"/>
      <c r="Q215" s="143"/>
      <c r="R215" s="143"/>
      <c r="S215" s="143"/>
      <c r="T215" s="144"/>
      <c r="U215" s="143"/>
      <c r="V215" s="143"/>
      <c r="W215" s="143"/>
      <c r="X215" s="143"/>
      <c r="Y215" s="145" t="e">
        <f>VLOOKUP(#REF!,#REF!,18,FALSE)</f>
        <v>#REF!</v>
      </c>
      <c r="Z215" s="146"/>
      <c r="AA215" s="147"/>
      <c r="AB215" s="147"/>
    </row>
    <row r="216" spans="1:28">
      <c r="A216" s="137"/>
      <c r="B216" s="135"/>
      <c r="C216" s="136"/>
      <c r="D216" s="137"/>
      <c r="E216" s="138"/>
      <c r="F216" s="139"/>
      <c r="G216" s="137"/>
      <c r="H216" s="137"/>
      <c r="I216" s="140"/>
      <c r="J216" s="140"/>
      <c r="K216" s="140"/>
      <c r="L216" s="137"/>
      <c r="M216" s="141"/>
      <c r="N216" s="142"/>
      <c r="O216" s="141"/>
      <c r="P216" s="142"/>
      <c r="Q216" s="143"/>
      <c r="R216" s="143"/>
      <c r="S216" s="143"/>
      <c r="T216" s="144"/>
      <c r="U216" s="143"/>
      <c r="V216" s="143"/>
      <c r="W216" s="143"/>
      <c r="X216" s="143"/>
      <c r="Y216" s="145" t="e">
        <f>VLOOKUP(#REF!,#REF!,18,FALSE)</f>
        <v>#REF!</v>
      </c>
      <c r="Z216" s="146"/>
      <c r="AA216" s="147"/>
      <c r="AB216" s="147"/>
    </row>
    <row r="217" spans="1:28">
      <c r="A217" s="137"/>
      <c r="B217" s="135"/>
      <c r="C217" s="136"/>
      <c r="D217" s="137"/>
      <c r="E217" s="138"/>
      <c r="F217" s="139"/>
      <c r="G217" s="137"/>
      <c r="H217" s="137"/>
      <c r="I217" s="140"/>
      <c r="J217" s="140"/>
      <c r="K217" s="140"/>
      <c r="L217" s="137"/>
      <c r="M217" s="141"/>
      <c r="N217" s="142"/>
      <c r="O217" s="141"/>
      <c r="P217" s="142"/>
      <c r="Q217" s="143"/>
      <c r="R217" s="143"/>
      <c r="S217" s="143"/>
      <c r="T217" s="144"/>
      <c r="U217" s="143"/>
      <c r="V217" s="143"/>
      <c r="W217" s="143"/>
      <c r="X217" s="143"/>
      <c r="Y217" s="145" t="e">
        <f>VLOOKUP(#REF!,#REF!,18,FALSE)</f>
        <v>#REF!</v>
      </c>
      <c r="Z217" s="146"/>
      <c r="AA217" s="147"/>
      <c r="AB217" s="147"/>
    </row>
    <row r="218" spans="1:28">
      <c r="A218" s="137"/>
      <c r="B218" s="135"/>
      <c r="C218" s="136"/>
      <c r="D218" s="137"/>
      <c r="E218" s="138"/>
      <c r="F218" s="139"/>
      <c r="G218" s="137"/>
      <c r="H218" s="137"/>
      <c r="I218" s="140"/>
      <c r="J218" s="140"/>
      <c r="K218" s="140"/>
      <c r="L218" s="137"/>
      <c r="M218" s="141"/>
      <c r="N218" s="142"/>
      <c r="O218" s="141"/>
      <c r="P218" s="142"/>
      <c r="Q218" s="143"/>
      <c r="R218" s="143"/>
      <c r="S218" s="143"/>
      <c r="T218" s="144"/>
      <c r="U218" s="143"/>
      <c r="V218" s="143"/>
      <c r="W218" s="143"/>
      <c r="X218" s="143"/>
      <c r="Y218" s="145" t="e">
        <f>VLOOKUP(#REF!,#REF!,18,FALSE)</f>
        <v>#REF!</v>
      </c>
      <c r="Z218" s="146"/>
      <c r="AA218" s="147"/>
      <c r="AB218" s="147"/>
    </row>
    <row r="219" spans="1:28">
      <c r="A219" s="137"/>
      <c r="B219" s="135"/>
      <c r="C219" s="136"/>
      <c r="D219" s="137"/>
      <c r="E219" s="138"/>
      <c r="F219" s="139"/>
      <c r="G219" s="137"/>
      <c r="H219" s="137"/>
      <c r="I219" s="140"/>
      <c r="J219" s="140"/>
      <c r="K219" s="140"/>
      <c r="L219" s="137"/>
      <c r="M219" s="141"/>
      <c r="N219" s="142"/>
      <c r="O219" s="141"/>
      <c r="P219" s="142"/>
      <c r="Q219" s="143"/>
      <c r="R219" s="143"/>
      <c r="S219" s="143"/>
      <c r="T219" s="144"/>
      <c r="U219" s="143"/>
      <c r="V219" s="143"/>
      <c r="W219" s="143"/>
      <c r="X219" s="143"/>
      <c r="Y219" s="145" t="e">
        <f>VLOOKUP(#REF!,#REF!,18,FALSE)</f>
        <v>#REF!</v>
      </c>
      <c r="Z219" s="146"/>
      <c r="AA219" s="147"/>
      <c r="AB219" s="147"/>
    </row>
    <row r="220" spans="1:28">
      <c r="A220" s="137"/>
      <c r="B220" s="135"/>
      <c r="C220" s="136"/>
      <c r="D220" s="137"/>
      <c r="E220" s="138"/>
      <c r="F220" s="139"/>
      <c r="G220" s="137"/>
      <c r="H220" s="137"/>
      <c r="I220" s="140"/>
      <c r="J220" s="140"/>
      <c r="K220" s="140"/>
      <c r="L220" s="137"/>
      <c r="M220" s="141"/>
      <c r="N220" s="142"/>
      <c r="O220" s="141"/>
      <c r="P220" s="142"/>
      <c r="Q220" s="143"/>
      <c r="R220" s="143"/>
      <c r="S220" s="143"/>
      <c r="T220" s="144"/>
      <c r="U220" s="143"/>
      <c r="V220" s="143"/>
      <c r="W220" s="143"/>
      <c r="X220" s="143"/>
      <c r="Y220" s="145" t="e">
        <f>VLOOKUP(#REF!,#REF!,18,FALSE)</f>
        <v>#REF!</v>
      </c>
      <c r="Z220" s="146"/>
      <c r="AA220" s="147"/>
      <c r="AB220" s="147"/>
    </row>
    <row r="221" spans="1:28">
      <c r="A221" s="137"/>
      <c r="B221" s="135"/>
      <c r="C221" s="136"/>
      <c r="D221" s="137"/>
      <c r="E221" s="138"/>
      <c r="F221" s="139"/>
      <c r="G221" s="137"/>
      <c r="H221" s="137"/>
      <c r="I221" s="140"/>
      <c r="J221" s="140"/>
      <c r="K221" s="140"/>
      <c r="L221" s="137"/>
      <c r="M221" s="141"/>
      <c r="N221" s="142"/>
      <c r="O221" s="141"/>
      <c r="P221" s="142"/>
      <c r="Q221" s="143"/>
      <c r="R221" s="143"/>
      <c r="S221" s="143"/>
      <c r="T221" s="144"/>
      <c r="U221" s="143"/>
      <c r="V221" s="143"/>
      <c r="W221" s="143"/>
      <c r="X221" s="143"/>
      <c r="Y221" s="145" t="e">
        <f>VLOOKUP(#REF!,#REF!,18,FALSE)</f>
        <v>#REF!</v>
      </c>
      <c r="Z221" s="146"/>
      <c r="AA221" s="147"/>
      <c r="AB221" s="147"/>
    </row>
    <row r="222" spans="1:28">
      <c r="A222" s="137"/>
      <c r="B222" s="135"/>
      <c r="C222" s="136"/>
      <c r="D222" s="137"/>
      <c r="E222" s="138"/>
      <c r="F222" s="139"/>
      <c r="G222" s="137"/>
      <c r="H222" s="137"/>
      <c r="I222" s="140"/>
      <c r="J222" s="140"/>
      <c r="K222" s="140"/>
      <c r="L222" s="137"/>
      <c r="M222" s="141"/>
      <c r="N222" s="142"/>
      <c r="O222" s="141"/>
      <c r="P222" s="142"/>
      <c r="Q222" s="143"/>
      <c r="R222" s="143"/>
      <c r="S222" s="143"/>
      <c r="T222" s="144"/>
      <c r="U222" s="143"/>
      <c r="V222" s="143"/>
      <c r="W222" s="143"/>
      <c r="X222" s="143"/>
      <c r="Y222" s="145" t="e">
        <f>VLOOKUP(#REF!,#REF!,18,FALSE)</f>
        <v>#REF!</v>
      </c>
      <c r="Z222" s="146"/>
      <c r="AA222" s="147"/>
      <c r="AB222" s="147"/>
    </row>
    <row r="223" spans="1:28">
      <c r="A223" s="137"/>
      <c r="B223" s="135"/>
      <c r="C223" s="136"/>
      <c r="D223" s="137"/>
      <c r="E223" s="138"/>
      <c r="F223" s="139"/>
      <c r="G223" s="137"/>
      <c r="H223" s="137"/>
      <c r="I223" s="140"/>
      <c r="J223" s="140"/>
      <c r="K223" s="140"/>
      <c r="L223" s="137"/>
      <c r="M223" s="141"/>
      <c r="N223" s="142"/>
      <c r="O223" s="141"/>
      <c r="P223" s="142"/>
      <c r="Q223" s="143"/>
      <c r="R223" s="143"/>
      <c r="S223" s="143"/>
      <c r="T223" s="144"/>
      <c r="U223" s="143"/>
      <c r="V223" s="143"/>
      <c r="W223" s="143"/>
      <c r="X223" s="143"/>
      <c r="Y223" s="145" t="e">
        <f>VLOOKUP(#REF!,#REF!,18,FALSE)</f>
        <v>#REF!</v>
      </c>
      <c r="Z223" s="146"/>
      <c r="AA223" s="147"/>
      <c r="AB223" s="147"/>
    </row>
    <row r="224" spans="1:28">
      <c r="A224" s="137"/>
      <c r="B224" s="135"/>
      <c r="C224" s="136"/>
      <c r="D224" s="137"/>
      <c r="E224" s="138"/>
      <c r="F224" s="139"/>
      <c r="G224" s="137"/>
      <c r="H224" s="137"/>
      <c r="I224" s="140"/>
      <c r="J224" s="140"/>
      <c r="K224" s="140"/>
      <c r="L224" s="137"/>
      <c r="M224" s="141"/>
      <c r="N224" s="142"/>
      <c r="O224" s="141"/>
      <c r="P224" s="142"/>
      <c r="Q224" s="143"/>
      <c r="R224" s="143"/>
      <c r="S224" s="143"/>
      <c r="T224" s="144"/>
      <c r="U224" s="143"/>
      <c r="V224" s="143"/>
      <c r="W224" s="143"/>
      <c r="X224" s="143"/>
      <c r="Y224" s="145" t="e">
        <f>VLOOKUP(#REF!,#REF!,18,FALSE)</f>
        <v>#REF!</v>
      </c>
      <c r="Z224" s="146"/>
      <c r="AA224" s="147"/>
      <c r="AB224" s="147"/>
    </row>
    <row r="225" spans="1:28">
      <c r="A225" s="137"/>
      <c r="B225" s="135"/>
      <c r="C225" s="136"/>
      <c r="D225" s="137"/>
      <c r="E225" s="138"/>
      <c r="F225" s="139"/>
      <c r="G225" s="137"/>
      <c r="H225" s="137"/>
      <c r="I225" s="140"/>
      <c r="J225" s="140"/>
      <c r="K225" s="140"/>
      <c r="L225" s="137"/>
      <c r="M225" s="141"/>
      <c r="N225" s="142"/>
      <c r="O225" s="141"/>
      <c r="P225" s="142"/>
      <c r="Q225" s="143"/>
      <c r="R225" s="143"/>
      <c r="S225" s="143"/>
      <c r="T225" s="144"/>
      <c r="U225" s="143"/>
      <c r="V225" s="143"/>
      <c r="W225" s="143"/>
      <c r="X225" s="143"/>
      <c r="Y225" s="145" t="e">
        <f>VLOOKUP(#REF!,#REF!,18,FALSE)</f>
        <v>#REF!</v>
      </c>
      <c r="Z225" s="146"/>
      <c r="AA225" s="147"/>
      <c r="AB225" s="147"/>
    </row>
    <row r="226" spans="1:28">
      <c r="A226" s="137"/>
      <c r="B226" s="135"/>
      <c r="C226" s="136"/>
      <c r="D226" s="137"/>
      <c r="E226" s="138"/>
      <c r="F226" s="139"/>
      <c r="G226" s="137"/>
      <c r="H226" s="137"/>
      <c r="I226" s="140"/>
      <c r="J226" s="140"/>
      <c r="K226" s="140"/>
      <c r="L226" s="137"/>
      <c r="M226" s="141"/>
      <c r="N226" s="142"/>
      <c r="O226" s="141"/>
      <c r="P226" s="142"/>
      <c r="Q226" s="143"/>
      <c r="R226" s="143"/>
      <c r="S226" s="143"/>
      <c r="T226" s="144"/>
      <c r="U226" s="143"/>
      <c r="V226" s="143"/>
      <c r="W226" s="143"/>
      <c r="X226" s="143"/>
      <c r="Y226" s="145" t="e">
        <f>VLOOKUP(#REF!,#REF!,18,FALSE)</f>
        <v>#REF!</v>
      </c>
      <c r="Z226" s="146"/>
      <c r="AA226" s="147"/>
      <c r="AB226" s="147"/>
    </row>
    <row r="227" spans="1:28">
      <c r="A227" s="137"/>
      <c r="B227" s="135"/>
      <c r="C227" s="136"/>
      <c r="D227" s="137"/>
      <c r="E227" s="138"/>
      <c r="F227" s="139"/>
      <c r="G227" s="137"/>
      <c r="H227" s="137"/>
      <c r="I227" s="140"/>
      <c r="J227" s="140"/>
      <c r="K227" s="140"/>
      <c r="L227" s="137"/>
      <c r="M227" s="141"/>
      <c r="N227" s="142"/>
      <c r="O227" s="141"/>
      <c r="P227" s="142"/>
      <c r="Q227" s="143"/>
      <c r="R227" s="143"/>
      <c r="S227" s="143"/>
      <c r="T227" s="144"/>
      <c r="U227" s="143"/>
      <c r="V227" s="143"/>
      <c r="W227" s="143"/>
      <c r="X227" s="143"/>
      <c r="Y227" s="145" t="e">
        <f>VLOOKUP(#REF!,#REF!,18,FALSE)</f>
        <v>#REF!</v>
      </c>
      <c r="Z227" s="146"/>
      <c r="AA227" s="147"/>
      <c r="AB227" s="147"/>
    </row>
    <row r="228" spans="1:28">
      <c r="A228" s="137"/>
      <c r="B228" s="135"/>
      <c r="C228" s="136"/>
      <c r="D228" s="137"/>
      <c r="E228" s="138"/>
      <c r="F228" s="139"/>
      <c r="G228" s="137"/>
      <c r="H228" s="137"/>
      <c r="I228" s="140"/>
      <c r="J228" s="140"/>
      <c r="K228" s="140"/>
      <c r="L228" s="137"/>
      <c r="M228" s="141"/>
      <c r="N228" s="142"/>
      <c r="O228" s="141"/>
      <c r="P228" s="142"/>
      <c r="Q228" s="143"/>
      <c r="R228" s="143"/>
      <c r="S228" s="143"/>
      <c r="T228" s="144"/>
      <c r="U228" s="143"/>
      <c r="V228" s="143"/>
      <c r="W228" s="143"/>
      <c r="X228" s="143"/>
      <c r="Y228" s="145" t="e">
        <f>VLOOKUP(#REF!,#REF!,18,FALSE)</f>
        <v>#REF!</v>
      </c>
      <c r="Z228" s="146"/>
      <c r="AA228" s="147"/>
      <c r="AB228" s="147"/>
    </row>
    <row r="229" spans="1:28">
      <c r="A229" s="137"/>
      <c r="B229" s="135"/>
      <c r="C229" s="136"/>
      <c r="D229" s="137"/>
      <c r="E229" s="138"/>
      <c r="F229" s="139"/>
      <c r="G229" s="137"/>
      <c r="H229" s="137"/>
      <c r="I229" s="140"/>
      <c r="J229" s="140"/>
      <c r="K229" s="140"/>
      <c r="L229" s="137"/>
      <c r="M229" s="141"/>
      <c r="N229" s="142"/>
      <c r="O229" s="141"/>
      <c r="P229" s="142"/>
      <c r="Q229" s="143"/>
      <c r="R229" s="143"/>
      <c r="S229" s="143"/>
      <c r="T229" s="144"/>
      <c r="U229" s="143"/>
      <c r="V229" s="143"/>
      <c r="W229" s="143"/>
      <c r="X229" s="143"/>
      <c r="Y229" s="145" t="e">
        <f>VLOOKUP(#REF!,#REF!,18,FALSE)</f>
        <v>#REF!</v>
      </c>
      <c r="Z229" s="146"/>
      <c r="AA229" s="147"/>
      <c r="AB229" s="147"/>
    </row>
    <row r="230" spans="1:28">
      <c r="A230" s="137"/>
      <c r="B230" s="135"/>
      <c r="C230" s="136"/>
      <c r="D230" s="137"/>
      <c r="E230" s="138"/>
      <c r="F230" s="139"/>
      <c r="G230" s="137"/>
      <c r="H230" s="137"/>
      <c r="I230" s="140"/>
      <c r="J230" s="140"/>
      <c r="K230" s="140"/>
      <c r="L230" s="137"/>
      <c r="M230" s="141"/>
      <c r="N230" s="142"/>
      <c r="O230" s="141"/>
      <c r="P230" s="142"/>
      <c r="Q230" s="143"/>
      <c r="R230" s="143"/>
      <c r="S230" s="143"/>
      <c r="T230" s="144"/>
      <c r="U230" s="143"/>
      <c r="V230" s="143"/>
      <c r="W230" s="143"/>
      <c r="X230" s="143"/>
      <c r="Y230" s="145" t="e">
        <f>VLOOKUP(#REF!,#REF!,18,FALSE)</f>
        <v>#REF!</v>
      </c>
      <c r="Z230" s="146"/>
      <c r="AA230" s="147"/>
      <c r="AB230" s="147"/>
    </row>
    <row r="231" spans="1:28">
      <c r="A231" s="137"/>
      <c r="B231" s="135"/>
      <c r="C231" s="136"/>
      <c r="D231" s="137"/>
      <c r="E231" s="138"/>
      <c r="F231" s="139"/>
      <c r="G231" s="137"/>
      <c r="H231" s="137"/>
      <c r="I231" s="140"/>
      <c r="J231" s="140"/>
      <c r="K231" s="140"/>
      <c r="L231" s="137"/>
      <c r="M231" s="141"/>
      <c r="N231" s="142"/>
      <c r="O231" s="141"/>
      <c r="P231" s="142"/>
      <c r="Q231" s="143"/>
      <c r="R231" s="143"/>
      <c r="S231" s="143"/>
      <c r="T231" s="144"/>
      <c r="U231" s="143"/>
      <c r="V231" s="143"/>
      <c r="W231" s="143"/>
      <c r="X231" s="143"/>
      <c r="Y231" s="145" t="e">
        <f>VLOOKUP(#REF!,#REF!,18,FALSE)</f>
        <v>#REF!</v>
      </c>
      <c r="Z231" s="146"/>
      <c r="AA231" s="147"/>
      <c r="AB231" s="147"/>
    </row>
    <row r="232" spans="1:28">
      <c r="A232" s="137"/>
      <c r="B232" s="135"/>
      <c r="C232" s="136"/>
      <c r="D232" s="137"/>
      <c r="E232" s="138"/>
      <c r="F232" s="139"/>
      <c r="G232" s="137"/>
      <c r="H232" s="137"/>
      <c r="I232" s="140"/>
      <c r="J232" s="140"/>
      <c r="K232" s="140"/>
      <c r="L232" s="137"/>
      <c r="M232" s="141"/>
      <c r="N232" s="142"/>
      <c r="O232" s="141"/>
      <c r="P232" s="142"/>
      <c r="Q232" s="143"/>
      <c r="R232" s="143"/>
      <c r="S232" s="143"/>
      <c r="T232" s="144"/>
      <c r="U232" s="143"/>
      <c r="V232" s="143"/>
      <c r="W232" s="143"/>
      <c r="X232" s="143"/>
      <c r="Y232" s="145" t="e">
        <f>VLOOKUP(#REF!,#REF!,18,FALSE)</f>
        <v>#REF!</v>
      </c>
      <c r="Z232" s="146"/>
      <c r="AA232" s="147"/>
      <c r="AB232" s="147"/>
    </row>
    <row r="233" spans="1:28">
      <c r="A233" s="137"/>
      <c r="B233" s="135"/>
      <c r="C233" s="136"/>
      <c r="D233" s="137"/>
      <c r="E233" s="138"/>
      <c r="F233" s="139"/>
      <c r="G233" s="137"/>
      <c r="H233" s="137"/>
      <c r="I233" s="140"/>
      <c r="J233" s="140"/>
      <c r="K233" s="140"/>
      <c r="L233" s="137"/>
      <c r="M233" s="141"/>
      <c r="N233" s="142"/>
      <c r="O233" s="141"/>
      <c r="P233" s="142"/>
      <c r="Q233" s="143"/>
      <c r="R233" s="143"/>
      <c r="S233" s="143"/>
      <c r="T233" s="144"/>
      <c r="U233" s="143"/>
      <c r="V233" s="143"/>
      <c r="W233" s="143"/>
      <c r="X233" s="143"/>
      <c r="Y233" s="145" t="e">
        <f>VLOOKUP(#REF!,#REF!,18,FALSE)</f>
        <v>#REF!</v>
      </c>
      <c r="Z233" s="146"/>
      <c r="AA233" s="147"/>
      <c r="AB233" s="147"/>
    </row>
    <row r="234" spans="1:28">
      <c r="A234" s="137"/>
      <c r="B234" s="135"/>
      <c r="C234" s="136"/>
      <c r="D234" s="137"/>
      <c r="E234" s="138"/>
      <c r="F234" s="139"/>
      <c r="G234" s="137"/>
      <c r="H234" s="137"/>
      <c r="I234" s="140"/>
      <c r="J234" s="140"/>
      <c r="K234" s="140"/>
      <c r="L234" s="137"/>
      <c r="M234" s="141"/>
      <c r="N234" s="142"/>
      <c r="O234" s="141"/>
      <c r="P234" s="142"/>
      <c r="Q234" s="143"/>
      <c r="R234" s="143"/>
      <c r="S234" s="143"/>
      <c r="T234" s="144"/>
      <c r="U234" s="143"/>
      <c r="V234" s="143"/>
      <c r="W234" s="143"/>
      <c r="X234" s="143"/>
      <c r="Y234" s="145" t="e">
        <f>VLOOKUP(#REF!,#REF!,18,FALSE)</f>
        <v>#REF!</v>
      </c>
      <c r="Z234" s="146"/>
      <c r="AA234" s="147"/>
      <c r="AB234" s="147"/>
    </row>
    <row r="235" spans="1:28">
      <c r="A235" s="137"/>
      <c r="B235" s="135"/>
      <c r="C235" s="136"/>
      <c r="D235" s="137"/>
      <c r="E235" s="138"/>
      <c r="F235" s="139"/>
      <c r="G235" s="137"/>
      <c r="H235" s="137"/>
      <c r="I235" s="140"/>
      <c r="J235" s="140"/>
      <c r="K235" s="140"/>
      <c r="L235" s="137"/>
      <c r="M235" s="141"/>
      <c r="N235" s="142"/>
      <c r="O235" s="141"/>
      <c r="P235" s="142"/>
      <c r="Q235" s="143"/>
      <c r="R235" s="143"/>
      <c r="S235" s="143"/>
      <c r="T235" s="144"/>
      <c r="U235" s="143"/>
      <c r="V235" s="143"/>
      <c r="W235" s="143"/>
      <c r="X235" s="143"/>
      <c r="Y235" s="145" t="e">
        <f>VLOOKUP(#REF!,#REF!,18,FALSE)</f>
        <v>#REF!</v>
      </c>
      <c r="Z235" s="146"/>
      <c r="AA235" s="147"/>
      <c r="AB235" s="147"/>
    </row>
    <row r="236" spans="1:28">
      <c r="A236" s="137"/>
      <c r="B236" s="135"/>
      <c r="C236" s="136"/>
      <c r="D236" s="137"/>
      <c r="E236" s="138"/>
      <c r="F236" s="139"/>
      <c r="G236" s="137"/>
      <c r="H236" s="137"/>
      <c r="I236" s="140"/>
      <c r="J236" s="140"/>
      <c r="K236" s="140"/>
      <c r="L236" s="137"/>
      <c r="M236" s="141"/>
      <c r="N236" s="142"/>
      <c r="O236" s="141"/>
      <c r="P236" s="142"/>
      <c r="Q236" s="143"/>
      <c r="R236" s="143"/>
      <c r="S236" s="143"/>
      <c r="T236" s="144"/>
      <c r="U236" s="143"/>
      <c r="V236" s="143"/>
      <c r="W236" s="143"/>
      <c r="X236" s="143"/>
      <c r="Y236" s="145" t="e">
        <f>VLOOKUP(#REF!,#REF!,18,FALSE)</f>
        <v>#REF!</v>
      </c>
      <c r="Z236" s="146"/>
      <c r="AA236" s="147"/>
      <c r="AB236" s="147"/>
    </row>
    <row r="237" spans="1:28">
      <c r="A237" s="137"/>
      <c r="B237" s="135"/>
      <c r="C237" s="136"/>
      <c r="D237" s="137"/>
      <c r="E237" s="138"/>
      <c r="F237" s="139"/>
      <c r="G237" s="137"/>
      <c r="H237" s="137"/>
      <c r="I237" s="140"/>
      <c r="J237" s="140"/>
      <c r="K237" s="140"/>
      <c r="L237" s="137"/>
      <c r="M237" s="141"/>
      <c r="N237" s="142"/>
      <c r="O237" s="141"/>
      <c r="P237" s="142"/>
      <c r="Q237" s="143"/>
      <c r="R237" s="143"/>
      <c r="S237" s="143"/>
      <c r="T237" s="144"/>
      <c r="U237" s="143"/>
      <c r="V237" s="143"/>
      <c r="W237" s="143"/>
      <c r="X237" s="143"/>
      <c r="Y237" s="145" t="e">
        <f>VLOOKUP(#REF!,#REF!,18,FALSE)</f>
        <v>#REF!</v>
      </c>
      <c r="Z237" s="146"/>
      <c r="AA237" s="147"/>
      <c r="AB237" s="147"/>
    </row>
    <row r="238" spans="1:28">
      <c r="A238" s="137"/>
      <c r="B238" s="135"/>
      <c r="C238" s="136"/>
      <c r="D238" s="137"/>
      <c r="E238" s="138"/>
      <c r="F238" s="139"/>
      <c r="G238" s="137"/>
      <c r="H238" s="137"/>
      <c r="I238" s="140"/>
      <c r="J238" s="140"/>
      <c r="K238" s="140"/>
      <c r="L238" s="137"/>
      <c r="M238" s="141"/>
      <c r="N238" s="142"/>
      <c r="O238" s="141"/>
      <c r="P238" s="142"/>
      <c r="Q238" s="143"/>
      <c r="R238" s="143"/>
      <c r="S238" s="143"/>
      <c r="T238" s="144"/>
      <c r="U238" s="143"/>
      <c r="V238" s="143"/>
      <c r="W238" s="143"/>
      <c r="X238" s="143"/>
      <c r="Y238" s="145" t="e">
        <f>VLOOKUP(#REF!,#REF!,18,FALSE)</f>
        <v>#REF!</v>
      </c>
      <c r="Z238" s="146"/>
      <c r="AA238" s="147"/>
      <c r="AB238" s="147"/>
    </row>
    <row r="239" spans="1:28">
      <c r="A239" s="137"/>
      <c r="B239" s="135"/>
      <c r="C239" s="136"/>
      <c r="D239" s="137"/>
      <c r="E239" s="138"/>
      <c r="F239" s="139"/>
      <c r="G239" s="137"/>
      <c r="H239" s="137"/>
      <c r="I239" s="140"/>
      <c r="J239" s="140"/>
      <c r="K239" s="140"/>
      <c r="L239" s="137"/>
      <c r="M239" s="141"/>
      <c r="N239" s="142"/>
      <c r="O239" s="141"/>
      <c r="P239" s="142"/>
      <c r="Q239" s="143"/>
      <c r="R239" s="143"/>
      <c r="S239" s="143"/>
      <c r="T239" s="144"/>
      <c r="U239" s="143"/>
      <c r="V239" s="143"/>
      <c r="W239" s="143"/>
      <c r="X239" s="143"/>
      <c r="Y239" s="145" t="e">
        <f>VLOOKUP(#REF!,#REF!,18,FALSE)</f>
        <v>#REF!</v>
      </c>
      <c r="Z239" s="146"/>
      <c r="AA239" s="147"/>
      <c r="AB239" s="147"/>
    </row>
    <row r="240" spans="1:28">
      <c r="A240" s="137"/>
      <c r="B240" s="135"/>
      <c r="C240" s="136"/>
      <c r="D240" s="137"/>
      <c r="E240" s="138"/>
      <c r="F240" s="139"/>
      <c r="G240" s="137"/>
      <c r="H240" s="137"/>
      <c r="I240" s="140"/>
      <c r="J240" s="140"/>
      <c r="K240" s="140"/>
      <c r="L240" s="137"/>
      <c r="M240" s="141"/>
      <c r="N240" s="142"/>
      <c r="O240" s="141"/>
      <c r="P240" s="142"/>
      <c r="Q240" s="143"/>
      <c r="R240" s="143"/>
      <c r="S240" s="143"/>
      <c r="T240" s="144"/>
      <c r="U240" s="143"/>
      <c r="V240" s="143"/>
      <c r="W240" s="143"/>
      <c r="X240" s="143"/>
      <c r="Y240" s="145" t="e">
        <f>VLOOKUP(#REF!,#REF!,18,FALSE)</f>
        <v>#REF!</v>
      </c>
      <c r="Z240" s="146"/>
      <c r="AA240" s="147"/>
      <c r="AB240" s="147"/>
    </row>
    <row r="241" spans="1:28">
      <c r="A241" s="137"/>
      <c r="B241" s="135"/>
      <c r="C241" s="136"/>
      <c r="D241" s="137"/>
      <c r="E241" s="138"/>
      <c r="F241" s="139"/>
      <c r="G241" s="137"/>
      <c r="H241" s="137"/>
      <c r="I241" s="140"/>
      <c r="J241" s="140"/>
      <c r="K241" s="140"/>
      <c r="L241" s="137"/>
      <c r="M241" s="141"/>
      <c r="N241" s="142"/>
      <c r="O241" s="141"/>
      <c r="P241" s="142"/>
      <c r="Q241" s="143"/>
      <c r="R241" s="143"/>
      <c r="S241" s="143"/>
      <c r="T241" s="144"/>
      <c r="U241" s="143"/>
      <c r="V241" s="143"/>
      <c r="W241" s="143"/>
      <c r="X241" s="143"/>
      <c r="Y241" s="145" t="e">
        <f>VLOOKUP(#REF!,#REF!,18,FALSE)</f>
        <v>#REF!</v>
      </c>
      <c r="Z241" s="146"/>
      <c r="AA241" s="147"/>
      <c r="AB241" s="147"/>
    </row>
    <row r="242" spans="1:28">
      <c r="A242" s="137"/>
      <c r="B242" s="135"/>
      <c r="C242" s="136"/>
      <c r="D242" s="137"/>
      <c r="E242" s="138"/>
      <c r="F242" s="139"/>
      <c r="G242" s="137"/>
      <c r="H242" s="137"/>
      <c r="I242" s="140"/>
      <c r="J242" s="140"/>
      <c r="K242" s="140"/>
      <c r="L242" s="137"/>
      <c r="M242" s="141"/>
      <c r="N242" s="142"/>
      <c r="O242" s="141"/>
      <c r="P242" s="142"/>
      <c r="Q242" s="143"/>
      <c r="R242" s="143"/>
      <c r="S242" s="143"/>
      <c r="T242" s="144"/>
      <c r="U242" s="143"/>
      <c r="V242" s="143"/>
      <c r="W242" s="143"/>
      <c r="X242" s="143"/>
      <c r="Y242" s="145" t="e">
        <f>VLOOKUP(#REF!,#REF!,18,FALSE)</f>
        <v>#REF!</v>
      </c>
      <c r="Z242" s="146"/>
      <c r="AA242" s="147"/>
      <c r="AB242" s="147"/>
    </row>
    <row r="243" spans="1:28">
      <c r="A243" s="137"/>
      <c r="B243" s="135"/>
      <c r="C243" s="136"/>
      <c r="D243" s="137"/>
      <c r="E243" s="138"/>
      <c r="F243" s="139"/>
      <c r="G243" s="137"/>
      <c r="H243" s="137"/>
      <c r="I243" s="140"/>
      <c r="J243" s="140"/>
      <c r="K243" s="140"/>
      <c r="L243" s="137"/>
      <c r="M243" s="141"/>
      <c r="N243" s="142"/>
      <c r="O243" s="141"/>
      <c r="P243" s="142"/>
      <c r="Q243" s="143"/>
      <c r="R243" s="143"/>
      <c r="S243" s="143"/>
      <c r="T243" s="144"/>
      <c r="U243" s="143"/>
      <c r="V243" s="143"/>
      <c r="W243" s="143"/>
      <c r="X243" s="143"/>
      <c r="Y243" s="145" t="e">
        <f>VLOOKUP(#REF!,#REF!,18,FALSE)</f>
        <v>#REF!</v>
      </c>
      <c r="Z243" s="146"/>
      <c r="AA243" s="147"/>
      <c r="AB243" s="147"/>
    </row>
    <row r="244" spans="1:28">
      <c r="A244" s="137"/>
      <c r="B244" s="135"/>
      <c r="C244" s="136"/>
      <c r="D244" s="137"/>
      <c r="E244" s="138"/>
      <c r="F244" s="139"/>
      <c r="G244" s="137"/>
      <c r="H244" s="137"/>
      <c r="I244" s="140"/>
      <c r="J244" s="140"/>
      <c r="K244" s="140"/>
      <c r="L244" s="137"/>
      <c r="M244" s="141"/>
      <c r="N244" s="142"/>
      <c r="O244" s="141"/>
      <c r="P244" s="142"/>
      <c r="Q244" s="143"/>
      <c r="R244" s="143"/>
      <c r="S244" s="143"/>
      <c r="T244" s="144"/>
      <c r="U244" s="143"/>
      <c r="V244" s="143"/>
      <c r="W244" s="143"/>
      <c r="X244" s="143"/>
      <c r="Y244" s="145" t="e">
        <f>VLOOKUP(#REF!,#REF!,18,FALSE)</f>
        <v>#REF!</v>
      </c>
      <c r="Z244" s="146"/>
      <c r="AA244" s="147"/>
      <c r="AB244" s="147"/>
    </row>
    <row r="245" spans="1:28">
      <c r="A245" s="137"/>
      <c r="B245" s="135"/>
      <c r="C245" s="136"/>
      <c r="D245" s="137"/>
      <c r="E245" s="138"/>
      <c r="F245" s="139"/>
      <c r="G245" s="137"/>
      <c r="H245" s="137"/>
      <c r="I245" s="140"/>
      <c r="J245" s="140"/>
      <c r="K245" s="140"/>
      <c r="L245" s="137"/>
      <c r="M245" s="141"/>
      <c r="N245" s="142"/>
      <c r="O245" s="141"/>
      <c r="P245" s="142"/>
      <c r="Q245" s="143"/>
      <c r="R245" s="143"/>
      <c r="S245" s="143"/>
      <c r="T245" s="144"/>
      <c r="U245" s="143"/>
      <c r="V245" s="143"/>
      <c r="W245" s="143"/>
      <c r="X245" s="143"/>
      <c r="Y245" s="145" t="e">
        <f>VLOOKUP(#REF!,#REF!,18,FALSE)</f>
        <v>#REF!</v>
      </c>
      <c r="Z245" s="146"/>
      <c r="AA245" s="147"/>
      <c r="AB245" s="147"/>
    </row>
    <row r="246" spans="1:28">
      <c r="A246" s="137"/>
      <c r="B246" s="135"/>
      <c r="C246" s="136"/>
      <c r="D246" s="137"/>
      <c r="E246" s="138"/>
      <c r="F246" s="139"/>
      <c r="G246" s="137"/>
      <c r="H246" s="137"/>
      <c r="I246" s="140"/>
      <c r="J246" s="140"/>
      <c r="K246" s="140"/>
      <c r="L246" s="137"/>
      <c r="M246" s="141"/>
      <c r="N246" s="142"/>
      <c r="O246" s="141"/>
      <c r="P246" s="142"/>
      <c r="Q246" s="143"/>
      <c r="R246" s="143"/>
      <c r="S246" s="143"/>
      <c r="T246" s="144"/>
      <c r="U246" s="143"/>
      <c r="V246" s="143"/>
      <c r="W246" s="143"/>
      <c r="X246" s="143"/>
      <c r="Y246" s="145" t="e">
        <f>VLOOKUP(#REF!,#REF!,18,FALSE)</f>
        <v>#REF!</v>
      </c>
      <c r="Z246" s="146"/>
      <c r="AA246" s="147"/>
      <c r="AB246" s="147"/>
    </row>
    <row r="247" spans="1:28">
      <c r="A247" s="137"/>
      <c r="B247" s="135"/>
      <c r="C247" s="136"/>
      <c r="D247" s="137"/>
      <c r="E247" s="138"/>
      <c r="F247" s="139"/>
      <c r="G247" s="137"/>
      <c r="H247" s="137"/>
      <c r="I247" s="140"/>
      <c r="J247" s="140"/>
      <c r="K247" s="140"/>
      <c r="L247" s="137"/>
      <c r="M247" s="141"/>
      <c r="N247" s="142"/>
      <c r="O247" s="141"/>
      <c r="P247" s="142"/>
      <c r="Q247" s="143"/>
      <c r="R247" s="143"/>
      <c r="S247" s="143"/>
      <c r="T247" s="144"/>
      <c r="U247" s="143"/>
      <c r="V247" s="143"/>
      <c r="W247" s="143"/>
      <c r="X247" s="143"/>
      <c r="Y247" s="145" t="e">
        <f>VLOOKUP(#REF!,#REF!,18,FALSE)</f>
        <v>#REF!</v>
      </c>
      <c r="Z247" s="146"/>
      <c r="AA247" s="147"/>
      <c r="AB247" s="147"/>
    </row>
    <row r="248" spans="1:28">
      <c r="A248" s="137"/>
      <c r="B248" s="135"/>
      <c r="C248" s="136"/>
      <c r="D248" s="137"/>
      <c r="E248" s="138"/>
      <c r="F248" s="139"/>
      <c r="G248" s="137"/>
      <c r="H248" s="137"/>
      <c r="I248" s="140"/>
      <c r="J248" s="140"/>
      <c r="K248" s="140"/>
      <c r="L248" s="137"/>
      <c r="M248" s="141"/>
      <c r="N248" s="142"/>
      <c r="O248" s="141"/>
      <c r="P248" s="142"/>
      <c r="Q248" s="143"/>
      <c r="R248" s="143"/>
      <c r="S248" s="143"/>
      <c r="T248" s="144"/>
      <c r="U248" s="143"/>
      <c r="V248" s="143"/>
      <c r="W248" s="143"/>
      <c r="X248" s="143"/>
      <c r="Y248" s="145" t="e">
        <f>VLOOKUP(#REF!,#REF!,18,FALSE)</f>
        <v>#REF!</v>
      </c>
      <c r="Z248" s="146"/>
      <c r="AA248" s="147"/>
      <c r="AB248" s="147"/>
    </row>
    <row r="249" spans="1:28">
      <c r="A249" s="137"/>
      <c r="B249" s="135"/>
      <c r="C249" s="136"/>
      <c r="D249" s="137"/>
      <c r="E249" s="138"/>
      <c r="F249" s="139"/>
      <c r="G249" s="137"/>
      <c r="H249" s="137"/>
      <c r="I249" s="140"/>
      <c r="J249" s="140"/>
      <c r="K249" s="140"/>
      <c r="L249" s="137"/>
      <c r="M249" s="141"/>
      <c r="N249" s="142"/>
      <c r="O249" s="141"/>
      <c r="P249" s="142"/>
      <c r="Q249" s="143"/>
      <c r="R249" s="143"/>
      <c r="S249" s="143"/>
      <c r="T249" s="144"/>
      <c r="U249" s="143"/>
      <c r="V249" s="143"/>
      <c r="W249" s="143"/>
      <c r="X249" s="143"/>
      <c r="Y249" s="145" t="e">
        <f>VLOOKUP(#REF!,#REF!,18,FALSE)</f>
        <v>#REF!</v>
      </c>
      <c r="Z249" s="146"/>
      <c r="AA249" s="147"/>
      <c r="AB249" s="147"/>
    </row>
    <row r="250" spans="1:28">
      <c r="A250" s="137"/>
      <c r="B250" s="135"/>
      <c r="C250" s="136"/>
      <c r="D250" s="137"/>
      <c r="E250" s="138"/>
      <c r="F250" s="139"/>
      <c r="G250" s="137"/>
      <c r="H250" s="137"/>
      <c r="I250" s="140"/>
      <c r="J250" s="140"/>
      <c r="K250" s="140"/>
      <c r="L250" s="137"/>
      <c r="M250" s="141"/>
      <c r="N250" s="142"/>
      <c r="O250" s="141"/>
      <c r="P250" s="142"/>
      <c r="Q250" s="143"/>
      <c r="R250" s="143"/>
      <c r="S250" s="143"/>
      <c r="T250" s="144"/>
      <c r="U250" s="143"/>
      <c r="V250" s="143"/>
      <c r="W250" s="143"/>
      <c r="X250" s="143"/>
      <c r="Y250" s="145" t="e">
        <f>VLOOKUP(#REF!,#REF!,18,FALSE)</f>
        <v>#REF!</v>
      </c>
      <c r="Z250" s="146"/>
      <c r="AA250" s="147"/>
      <c r="AB250" s="147"/>
    </row>
    <row r="251" spans="1:28">
      <c r="A251" s="137"/>
      <c r="B251" s="135"/>
      <c r="C251" s="136"/>
      <c r="D251" s="137"/>
      <c r="E251" s="138"/>
      <c r="F251" s="139"/>
      <c r="G251" s="137"/>
      <c r="H251" s="137"/>
      <c r="I251" s="140"/>
      <c r="J251" s="140"/>
      <c r="K251" s="140"/>
      <c r="L251" s="137"/>
      <c r="M251" s="141"/>
      <c r="N251" s="142"/>
      <c r="O251" s="141"/>
      <c r="P251" s="142"/>
      <c r="Q251" s="143"/>
      <c r="R251" s="143"/>
      <c r="S251" s="143"/>
      <c r="T251" s="144"/>
      <c r="U251" s="143"/>
      <c r="V251" s="143"/>
      <c r="W251" s="143"/>
      <c r="X251" s="143"/>
      <c r="Y251" s="145" t="e">
        <f>VLOOKUP(#REF!,#REF!,18,FALSE)</f>
        <v>#REF!</v>
      </c>
      <c r="Z251" s="146"/>
      <c r="AA251" s="147"/>
      <c r="AB251" s="147"/>
    </row>
    <row r="252" spans="1:28">
      <c r="A252" s="137"/>
      <c r="B252" s="135"/>
      <c r="C252" s="136"/>
      <c r="D252" s="137"/>
      <c r="E252" s="138"/>
      <c r="F252" s="139"/>
      <c r="G252" s="137"/>
      <c r="H252" s="137"/>
      <c r="I252" s="140"/>
      <c r="J252" s="140"/>
      <c r="K252" s="140"/>
      <c r="L252" s="137"/>
      <c r="M252" s="141"/>
      <c r="N252" s="142"/>
      <c r="O252" s="141"/>
      <c r="P252" s="142"/>
      <c r="Q252" s="143"/>
      <c r="R252" s="143"/>
      <c r="S252" s="143"/>
      <c r="T252" s="144"/>
      <c r="U252" s="143"/>
      <c r="V252" s="143"/>
      <c r="W252" s="143"/>
      <c r="X252" s="143"/>
      <c r="Y252" s="145" t="e">
        <f>VLOOKUP(#REF!,#REF!,18,FALSE)</f>
        <v>#REF!</v>
      </c>
      <c r="Z252" s="146"/>
      <c r="AA252" s="147"/>
      <c r="AB252" s="147"/>
    </row>
    <row r="253" spans="1:28">
      <c r="A253" s="137"/>
      <c r="B253" s="135"/>
      <c r="C253" s="136"/>
      <c r="D253" s="137"/>
      <c r="E253" s="138"/>
      <c r="F253" s="139"/>
      <c r="G253" s="137"/>
      <c r="H253" s="137"/>
      <c r="I253" s="140"/>
      <c r="J253" s="140"/>
      <c r="K253" s="140"/>
      <c r="L253" s="137"/>
      <c r="M253" s="141"/>
      <c r="N253" s="142"/>
      <c r="O253" s="141"/>
      <c r="P253" s="142"/>
      <c r="Q253" s="143"/>
      <c r="R253" s="143"/>
      <c r="S253" s="143"/>
      <c r="T253" s="144"/>
      <c r="U253" s="143"/>
      <c r="V253" s="143"/>
      <c r="W253" s="143"/>
      <c r="X253" s="143"/>
      <c r="Y253" s="145" t="e">
        <f>VLOOKUP(#REF!,#REF!,18,FALSE)</f>
        <v>#REF!</v>
      </c>
      <c r="Z253" s="146"/>
      <c r="AA253" s="147"/>
      <c r="AB253" s="147"/>
    </row>
    <row r="254" spans="1:28">
      <c r="A254" s="137"/>
      <c r="B254" s="135"/>
      <c r="C254" s="136"/>
      <c r="D254" s="137"/>
      <c r="E254" s="138"/>
      <c r="F254" s="139"/>
      <c r="G254" s="137"/>
      <c r="H254" s="137"/>
      <c r="I254" s="140"/>
      <c r="J254" s="140"/>
      <c r="K254" s="140"/>
      <c r="L254" s="137"/>
      <c r="M254" s="141"/>
      <c r="N254" s="142"/>
      <c r="O254" s="141"/>
      <c r="P254" s="142"/>
      <c r="Q254" s="143"/>
      <c r="R254" s="143"/>
      <c r="S254" s="143"/>
      <c r="T254" s="144"/>
      <c r="U254" s="143"/>
      <c r="V254" s="143"/>
      <c r="W254" s="143"/>
      <c r="X254" s="143"/>
      <c r="Y254" s="145" t="e">
        <f>VLOOKUP(#REF!,#REF!,18,FALSE)</f>
        <v>#REF!</v>
      </c>
      <c r="Z254" s="146"/>
      <c r="AA254" s="147"/>
      <c r="AB254" s="147"/>
    </row>
    <row r="255" spans="1:28">
      <c r="A255" s="137"/>
      <c r="B255" s="135"/>
      <c r="C255" s="136"/>
      <c r="D255" s="137"/>
      <c r="E255" s="138"/>
      <c r="F255" s="139"/>
      <c r="G255" s="137"/>
      <c r="H255" s="137"/>
      <c r="I255" s="140"/>
      <c r="J255" s="140"/>
      <c r="K255" s="140"/>
      <c r="L255" s="137"/>
      <c r="M255" s="141"/>
      <c r="N255" s="142"/>
      <c r="O255" s="141"/>
      <c r="P255" s="142"/>
      <c r="Q255" s="143"/>
      <c r="R255" s="143"/>
      <c r="S255" s="143"/>
      <c r="T255" s="144"/>
      <c r="U255" s="143"/>
      <c r="V255" s="143"/>
      <c r="W255" s="143"/>
      <c r="X255" s="143"/>
      <c r="Y255" s="145" t="e">
        <f>VLOOKUP(#REF!,#REF!,18,FALSE)</f>
        <v>#REF!</v>
      </c>
      <c r="Z255" s="146"/>
      <c r="AA255" s="147"/>
      <c r="AB255" s="147"/>
    </row>
    <row r="256" spans="1:28">
      <c r="A256" s="137"/>
      <c r="B256" s="135"/>
      <c r="C256" s="136"/>
      <c r="D256" s="137"/>
      <c r="E256" s="138"/>
      <c r="F256" s="139"/>
      <c r="G256" s="137"/>
      <c r="H256" s="137"/>
      <c r="I256" s="140"/>
      <c r="J256" s="140"/>
      <c r="K256" s="140"/>
      <c r="L256" s="137"/>
      <c r="M256" s="141"/>
      <c r="N256" s="142"/>
      <c r="O256" s="141"/>
      <c r="P256" s="142"/>
      <c r="Q256" s="143"/>
      <c r="R256" s="143"/>
      <c r="S256" s="143"/>
      <c r="T256" s="144"/>
      <c r="U256" s="143"/>
      <c r="V256" s="143"/>
      <c r="W256" s="143"/>
      <c r="X256" s="143"/>
      <c r="Y256" s="145" t="e">
        <f>VLOOKUP(#REF!,#REF!,18,FALSE)</f>
        <v>#REF!</v>
      </c>
      <c r="Z256" s="146"/>
      <c r="AA256" s="147"/>
      <c r="AB256" s="147"/>
    </row>
    <row r="257" spans="1:28">
      <c r="A257" s="137"/>
      <c r="B257" s="135"/>
      <c r="C257" s="136"/>
      <c r="D257" s="137"/>
      <c r="E257" s="138"/>
      <c r="F257" s="139"/>
      <c r="G257" s="137"/>
      <c r="H257" s="137"/>
      <c r="I257" s="140"/>
      <c r="J257" s="140"/>
      <c r="K257" s="140"/>
      <c r="L257" s="137"/>
      <c r="M257" s="141"/>
      <c r="N257" s="142"/>
      <c r="O257" s="141"/>
      <c r="P257" s="142"/>
      <c r="Q257" s="143"/>
      <c r="R257" s="143"/>
      <c r="S257" s="143"/>
      <c r="T257" s="144"/>
      <c r="U257" s="143"/>
      <c r="V257" s="143"/>
      <c r="W257" s="143"/>
      <c r="X257" s="143"/>
      <c r="Y257" s="145" t="e">
        <f>VLOOKUP(#REF!,#REF!,18,FALSE)</f>
        <v>#REF!</v>
      </c>
      <c r="Z257" s="146"/>
      <c r="AA257" s="147"/>
      <c r="AB257" s="147"/>
    </row>
    <row r="258" spans="1:28">
      <c r="A258" s="137"/>
      <c r="B258" s="135"/>
      <c r="C258" s="136"/>
      <c r="D258" s="137"/>
      <c r="E258" s="138"/>
      <c r="F258" s="139"/>
      <c r="G258" s="137"/>
      <c r="H258" s="137"/>
      <c r="I258" s="140"/>
      <c r="J258" s="140"/>
      <c r="K258" s="140"/>
      <c r="L258" s="137"/>
      <c r="M258" s="141"/>
      <c r="N258" s="142"/>
      <c r="O258" s="141"/>
      <c r="P258" s="142"/>
      <c r="Q258" s="143"/>
      <c r="R258" s="143"/>
      <c r="S258" s="143"/>
      <c r="T258" s="144"/>
      <c r="U258" s="143"/>
      <c r="V258" s="143"/>
      <c r="W258" s="143"/>
      <c r="X258" s="143"/>
      <c r="Y258" s="145" t="e">
        <f>VLOOKUP(#REF!,#REF!,18,FALSE)</f>
        <v>#REF!</v>
      </c>
      <c r="Z258" s="146"/>
      <c r="AA258" s="147"/>
      <c r="AB258" s="147"/>
    </row>
    <row r="259" spans="1:28">
      <c r="A259" s="137"/>
      <c r="B259" s="135"/>
      <c r="C259" s="136"/>
      <c r="D259" s="137"/>
      <c r="E259" s="138"/>
      <c r="F259" s="139"/>
      <c r="G259" s="137"/>
      <c r="H259" s="137"/>
      <c r="I259" s="140"/>
      <c r="J259" s="140"/>
      <c r="K259" s="140"/>
      <c r="L259" s="137"/>
      <c r="M259" s="141"/>
      <c r="N259" s="142"/>
      <c r="O259" s="141"/>
      <c r="P259" s="142"/>
      <c r="Q259" s="143"/>
      <c r="R259" s="143"/>
      <c r="S259" s="143"/>
      <c r="T259" s="144"/>
      <c r="U259" s="143"/>
      <c r="V259" s="143"/>
      <c r="W259" s="143"/>
      <c r="X259" s="143"/>
      <c r="Y259" s="145" t="e">
        <f>VLOOKUP(#REF!,#REF!,18,FALSE)</f>
        <v>#REF!</v>
      </c>
      <c r="Z259" s="146"/>
      <c r="AA259" s="147"/>
      <c r="AB259" s="147"/>
    </row>
    <row r="260" spans="1:28">
      <c r="A260" s="137"/>
      <c r="B260" s="135"/>
      <c r="C260" s="136"/>
      <c r="D260" s="137"/>
      <c r="E260" s="138"/>
      <c r="F260" s="139"/>
      <c r="G260" s="137"/>
      <c r="H260" s="137"/>
      <c r="I260" s="140"/>
      <c r="J260" s="140"/>
      <c r="K260" s="140"/>
      <c r="L260" s="137"/>
      <c r="M260" s="141"/>
      <c r="N260" s="142"/>
      <c r="O260" s="141"/>
      <c r="P260" s="142"/>
      <c r="Q260" s="143"/>
      <c r="R260" s="143"/>
      <c r="S260" s="143"/>
      <c r="T260" s="144"/>
      <c r="U260" s="143"/>
      <c r="V260" s="143"/>
      <c r="W260" s="143"/>
      <c r="X260" s="143"/>
      <c r="Y260" s="145" t="e">
        <f>VLOOKUP(#REF!,#REF!,18,FALSE)</f>
        <v>#REF!</v>
      </c>
      <c r="Z260" s="146"/>
      <c r="AA260" s="147"/>
      <c r="AB260" s="147"/>
    </row>
    <row r="261" spans="1:28">
      <c r="A261" s="137"/>
      <c r="B261" s="135"/>
      <c r="C261" s="136"/>
      <c r="D261" s="137"/>
      <c r="E261" s="138"/>
      <c r="F261" s="139"/>
      <c r="G261" s="137"/>
      <c r="H261" s="137"/>
      <c r="I261" s="140"/>
      <c r="J261" s="140"/>
      <c r="K261" s="140"/>
      <c r="L261" s="137"/>
      <c r="M261" s="141"/>
      <c r="N261" s="142"/>
      <c r="O261" s="141"/>
      <c r="P261" s="142"/>
      <c r="Q261" s="143"/>
      <c r="R261" s="143"/>
      <c r="S261" s="143"/>
      <c r="T261" s="144"/>
      <c r="U261" s="143"/>
      <c r="V261" s="143"/>
      <c r="W261" s="143"/>
      <c r="X261" s="143"/>
      <c r="Y261" s="145" t="e">
        <f>VLOOKUP(#REF!,#REF!,18,FALSE)</f>
        <v>#REF!</v>
      </c>
      <c r="Z261" s="146"/>
      <c r="AA261" s="147"/>
      <c r="AB261" s="147"/>
    </row>
    <row r="262" spans="1:28">
      <c r="A262" s="137"/>
      <c r="B262" s="135"/>
      <c r="C262" s="136"/>
      <c r="D262" s="137"/>
      <c r="E262" s="138"/>
      <c r="F262" s="139"/>
      <c r="G262" s="137"/>
      <c r="H262" s="137"/>
      <c r="I262" s="140"/>
      <c r="J262" s="140"/>
      <c r="K262" s="140"/>
      <c r="L262" s="137"/>
      <c r="M262" s="141"/>
      <c r="N262" s="142"/>
      <c r="O262" s="141"/>
      <c r="P262" s="142"/>
      <c r="Q262" s="143"/>
      <c r="R262" s="143"/>
      <c r="S262" s="143"/>
      <c r="T262" s="144"/>
      <c r="U262" s="143"/>
      <c r="V262" s="143"/>
      <c r="W262" s="143"/>
      <c r="X262" s="143"/>
      <c r="Y262" s="145" t="e">
        <f>VLOOKUP(#REF!,#REF!,18,FALSE)</f>
        <v>#REF!</v>
      </c>
      <c r="Z262" s="146"/>
      <c r="AA262" s="147"/>
      <c r="AB262" s="147"/>
    </row>
    <row r="263" spans="1:28">
      <c r="A263" s="137"/>
      <c r="B263" s="135"/>
      <c r="C263" s="136"/>
      <c r="D263" s="137"/>
      <c r="E263" s="138"/>
      <c r="F263" s="139"/>
      <c r="G263" s="137"/>
      <c r="H263" s="137"/>
      <c r="I263" s="140"/>
      <c r="J263" s="140"/>
      <c r="K263" s="140"/>
      <c r="L263" s="137"/>
      <c r="M263" s="141"/>
      <c r="N263" s="142"/>
      <c r="O263" s="141"/>
      <c r="P263" s="142"/>
      <c r="Q263" s="143"/>
      <c r="R263" s="143"/>
      <c r="S263" s="143"/>
      <c r="T263" s="144"/>
      <c r="U263" s="143"/>
      <c r="V263" s="143"/>
      <c r="W263" s="143"/>
      <c r="X263" s="143"/>
      <c r="Y263" s="145" t="e">
        <f>VLOOKUP(#REF!,#REF!,18,FALSE)</f>
        <v>#REF!</v>
      </c>
      <c r="Z263" s="146"/>
      <c r="AA263" s="147"/>
      <c r="AB263" s="147"/>
    </row>
    <row r="264" spans="1:28">
      <c r="A264" s="137"/>
      <c r="B264" s="135"/>
      <c r="C264" s="136"/>
      <c r="D264" s="137"/>
      <c r="E264" s="138"/>
      <c r="F264" s="139"/>
      <c r="G264" s="137"/>
      <c r="H264" s="137"/>
      <c r="I264" s="140"/>
      <c r="J264" s="140"/>
      <c r="K264" s="140"/>
      <c r="L264" s="137"/>
      <c r="M264" s="141"/>
      <c r="N264" s="142"/>
      <c r="O264" s="141"/>
      <c r="P264" s="142"/>
      <c r="Q264" s="143"/>
      <c r="R264" s="143"/>
      <c r="S264" s="143"/>
      <c r="T264" s="144"/>
      <c r="U264" s="143"/>
      <c r="V264" s="143"/>
      <c r="W264" s="143"/>
      <c r="X264" s="143"/>
      <c r="Y264" s="145" t="e">
        <f>VLOOKUP(#REF!,#REF!,18,FALSE)</f>
        <v>#REF!</v>
      </c>
      <c r="Z264" s="146"/>
      <c r="AA264" s="147"/>
      <c r="AB264" s="147"/>
    </row>
    <row r="265" spans="1:28">
      <c r="A265" s="137"/>
      <c r="B265" s="135"/>
      <c r="C265" s="136"/>
      <c r="D265" s="137"/>
      <c r="E265" s="138"/>
      <c r="F265" s="139"/>
      <c r="G265" s="137"/>
      <c r="H265" s="137"/>
      <c r="I265" s="140"/>
      <c r="J265" s="140"/>
      <c r="K265" s="140"/>
      <c r="L265" s="137"/>
      <c r="M265" s="141"/>
      <c r="N265" s="142"/>
      <c r="O265" s="141"/>
      <c r="P265" s="142"/>
      <c r="Q265" s="143"/>
      <c r="R265" s="143"/>
      <c r="S265" s="143"/>
      <c r="T265" s="144"/>
      <c r="U265" s="143"/>
      <c r="V265" s="143"/>
      <c r="W265" s="143"/>
      <c r="X265" s="143"/>
      <c r="Y265" s="145" t="e">
        <f>VLOOKUP(#REF!,#REF!,18,FALSE)</f>
        <v>#REF!</v>
      </c>
      <c r="Z265" s="146"/>
      <c r="AA265" s="147"/>
      <c r="AB265" s="147"/>
    </row>
    <row r="266" spans="1:28">
      <c r="A266" s="137"/>
      <c r="B266" s="135"/>
      <c r="C266" s="136"/>
      <c r="D266" s="137"/>
      <c r="E266" s="138"/>
      <c r="F266" s="139"/>
      <c r="G266" s="137"/>
      <c r="H266" s="137"/>
      <c r="I266" s="140"/>
      <c r="J266" s="140"/>
      <c r="K266" s="140"/>
      <c r="L266" s="137"/>
      <c r="M266" s="141"/>
      <c r="N266" s="142"/>
      <c r="O266" s="141"/>
      <c r="P266" s="142"/>
      <c r="Q266" s="143"/>
      <c r="R266" s="143"/>
      <c r="S266" s="143"/>
      <c r="T266" s="144"/>
      <c r="U266" s="143"/>
      <c r="V266" s="143"/>
      <c r="W266" s="143"/>
      <c r="X266" s="143"/>
      <c r="Y266" s="145" t="e">
        <f>VLOOKUP(#REF!,#REF!,18,FALSE)</f>
        <v>#REF!</v>
      </c>
      <c r="Z266" s="146"/>
      <c r="AA266" s="147"/>
      <c r="AB266" s="147"/>
    </row>
    <row r="267" spans="1:28">
      <c r="A267" s="137"/>
      <c r="B267" s="135"/>
      <c r="C267" s="136"/>
      <c r="D267" s="137"/>
      <c r="E267" s="138"/>
      <c r="F267" s="139"/>
      <c r="G267" s="137"/>
      <c r="H267" s="137"/>
      <c r="I267" s="140"/>
      <c r="J267" s="140"/>
      <c r="K267" s="140"/>
      <c r="L267" s="137"/>
      <c r="M267" s="141"/>
      <c r="N267" s="142"/>
      <c r="O267" s="141"/>
      <c r="P267" s="142"/>
      <c r="Q267" s="143"/>
      <c r="R267" s="143"/>
      <c r="S267" s="143"/>
      <c r="T267" s="144"/>
      <c r="U267" s="143"/>
      <c r="V267" s="143"/>
      <c r="W267" s="143"/>
      <c r="X267" s="143"/>
      <c r="Y267" s="145" t="e">
        <f>VLOOKUP(#REF!,#REF!,18,FALSE)</f>
        <v>#REF!</v>
      </c>
      <c r="Z267" s="146"/>
      <c r="AA267" s="147"/>
      <c r="AB267" s="147"/>
    </row>
    <row r="268" spans="1:28">
      <c r="A268" s="137"/>
      <c r="B268" s="135"/>
      <c r="C268" s="136"/>
      <c r="D268" s="137"/>
      <c r="E268" s="138"/>
      <c r="F268" s="139"/>
      <c r="G268" s="137"/>
      <c r="H268" s="137"/>
      <c r="I268" s="140"/>
      <c r="J268" s="140"/>
      <c r="K268" s="140"/>
      <c r="L268" s="137"/>
      <c r="M268" s="141"/>
      <c r="N268" s="142"/>
      <c r="O268" s="141"/>
      <c r="P268" s="142"/>
      <c r="Q268" s="143"/>
      <c r="R268" s="143"/>
      <c r="S268" s="143"/>
      <c r="T268" s="144"/>
      <c r="U268" s="143"/>
      <c r="V268" s="143"/>
      <c r="W268" s="143"/>
      <c r="X268" s="143"/>
      <c r="Y268" s="145" t="e">
        <f>VLOOKUP(#REF!,#REF!,18,FALSE)</f>
        <v>#REF!</v>
      </c>
      <c r="Z268" s="146"/>
      <c r="AA268" s="147"/>
      <c r="AB268" s="147"/>
    </row>
    <row r="269" spans="1:28">
      <c r="A269" s="137"/>
      <c r="B269" s="135"/>
      <c r="C269" s="136"/>
      <c r="D269" s="137"/>
      <c r="E269" s="138"/>
      <c r="F269" s="139"/>
      <c r="G269" s="137"/>
      <c r="H269" s="137"/>
      <c r="I269" s="140"/>
      <c r="J269" s="140"/>
      <c r="K269" s="140"/>
      <c r="L269" s="137"/>
      <c r="M269" s="141"/>
      <c r="N269" s="142"/>
      <c r="O269" s="141"/>
      <c r="P269" s="142"/>
      <c r="Q269" s="143"/>
      <c r="R269" s="143"/>
      <c r="S269" s="143"/>
      <c r="T269" s="144"/>
      <c r="U269" s="143"/>
      <c r="V269" s="143"/>
      <c r="W269" s="143"/>
      <c r="X269" s="143"/>
      <c r="Y269" s="145" t="e">
        <f>VLOOKUP(#REF!,#REF!,18,FALSE)</f>
        <v>#REF!</v>
      </c>
      <c r="Z269" s="146"/>
      <c r="AA269" s="147"/>
      <c r="AB269" s="147"/>
    </row>
    <row r="270" spans="1:28">
      <c r="A270" s="137"/>
      <c r="B270" s="135"/>
      <c r="C270" s="136"/>
      <c r="D270" s="137"/>
      <c r="E270" s="138"/>
      <c r="F270" s="139"/>
      <c r="G270" s="137"/>
      <c r="H270" s="137"/>
      <c r="I270" s="140"/>
      <c r="J270" s="140"/>
      <c r="K270" s="140"/>
      <c r="L270" s="137"/>
      <c r="M270" s="141"/>
      <c r="N270" s="142"/>
      <c r="O270" s="141"/>
      <c r="P270" s="142"/>
      <c r="Q270" s="143"/>
      <c r="R270" s="143"/>
      <c r="S270" s="143"/>
      <c r="T270" s="144"/>
      <c r="U270" s="143"/>
      <c r="V270" s="143"/>
      <c r="W270" s="143"/>
      <c r="X270" s="143"/>
      <c r="Y270" s="145" t="e">
        <f>VLOOKUP(#REF!,#REF!,18,FALSE)</f>
        <v>#REF!</v>
      </c>
      <c r="Z270" s="146"/>
      <c r="AA270" s="147"/>
      <c r="AB270" s="147"/>
    </row>
    <row r="271" spans="1:28">
      <c r="A271" s="137"/>
      <c r="B271" s="135"/>
      <c r="C271" s="136"/>
      <c r="D271" s="137"/>
      <c r="E271" s="138"/>
      <c r="F271" s="139"/>
      <c r="G271" s="137"/>
      <c r="H271" s="137"/>
      <c r="I271" s="140"/>
      <c r="J271" s="140"/>
      <c r="K271" s="140"/>
      <c r="L271" s="137"/>
      <c r="M271" s="141"/>
      <c r="N271" s="142"/>
      <c r="O271" s="141"/>
      <c r="P271" s="142"/>
      <c r="Q271" s="143"/>
      <c r="R271" s="143"/>
      <c r="S271" s="143"/>
      <c r="T271" s="144"/>
      <c r="U271" s="143"/>
      <c r="V271" s="143"/>
      <c r="W271" s="143"/>
      <c r="X271" s="143"/>
      <c r="Y271" s="145" t="e">
        <f>VLOOKUP(#REF!,#REF!,18,FALSE)</f>
        <v>#REF!</v>
      </c>
      <c r="Z271" s="146"/>
      <c r="AA271" s="147"/>
      <c r="AB271" s="147"/>
    </row>
    <row r="272" spans="1:28">
      <c r="A272" s="137"/>
      <c r="B272" s="135"/>
      <c r="C272" s="136"/>
      <c r="D272" s="137"/>
      <c r="E272" s="138"/>
      <c r="F272" s="139"/>
      <c r="G272" s="137"/>
      <c r="H272" s="137"/>
      <c r="I272" s="140"/>
      <c r="J272" s="140"/>
      <c r="K272" s="140"/>
      <c r="L272" s="137"/>
      <c r="M272" s="141"/>
      <c r="N272" s="142"/>
      <c r="O272" s="141"/>
      <c r="P272" s="142"/>
      <c r="Q272" s="143"/>
      <c r="R272" s="143"/>
      <c r="S272" s="143"/>
      <c r="T272" s="144"/>
      <c r="U272" s="143"/>
      <c r="V272" s="143"/>
      <c r="W272" s="143"/>
      <c r="X272" s="143"/>
      <c r="Y272" s="145" t="e">
        <f>VLOOKUP(#REF!,#REF!,18,FALSE)</f>
        <v>#REF!</v>
      </c>
      <c r="Z272" s="146"/>
      <c r="AA272" s="147"/>
      <c r="AB272" s="147"/>
    </row>
    <row r="273" spans="1:28">
      <c r="A273" s="137"/>
      <c r="B273" s="135"/>
      <c r="C273" s="136"/>
      <c r="D273" s="137"/>
      <c r="E273" s="138"/>
      <c r="F273" s="139"/>
      <c r="G273" s="137"/>
      <c r="H273" s="137"/>
      <c r="I273" s="140"/>
      <c r="J273" s="140"/>
      <c r="K273" s="140"/>
      <c r="L273" s="137"/>
      <c r="M273" s="141"/>
      <c r="N273" s="142"/>
      <c r="O273" s="141"/>
      <c r="P273" s="142"/>
      <c r="Q273" s="143"/>
      <c r="R273" s="143"/>
      <c r="S273" s="143"/>
      <c r="T273" s="144"/>
      <c r="U273" s="143"/>
      <c r="V273" s="143"/>
      <c r="W273" s="143"/>
      <c r="X273" s="143"/>
      <c r="Y273" s="145" t="e">
        <f>VLOOKUP(#REF!,#REF!,18,FALSE)</f>
        <v>#REF!</v>
      </c>
      <c r="Z273" s="146"/>
      <c r="AA273" s="147"/>
      <c r="AB273" s="147"/>
    </row>
    <row r="274" spans="1:28">
      <c r="A274" s="137"/>
      <c r="B274" s="135"/>
      <c r="C274" s="136"/>
      <c r="D274" s="137"/>
      <c r="E274" s="138"/>
      <c r="F274" s="139"/>
      <c r="G274" s="137"/>
      <c r="H274" s="137"/>
      <c r="I274" s="140"/>
      <c r="J274" s="140"/>
      <c r="K274" s="140"/>
      <c r="L274" s="137"/>
      <c r="M274" s="141"/>
      <c r="N274" s="142"/>
      <c r="O274" s="141"/>
      <c r="P274" s="142"/>
      <c r="Q274" s="143"/>
      <c r="R274" s="143"/>
      <c r="S274" s="143"/>
      <c r="T274" s="144"/>
      <c r="U274" s="143"/>
      <c r="V274" s="143"/>
      <c r="W274" s="143"/>
      <c r="X274" s="143"/>
      <c r="Y274" s="145" t="e">
        <f>VLOOKUP(#REF!,#REF!,18,FALSE)</f>
        <v>#REF!</v>
      </c>
      <c r="Z274" s="146"/>
      <c r="AA274" s="147"/>
      <c r="AB274" s="147"/>
    </row>
    <row r="275" spans="1:28">
      <c r="A275" s="137"/>
      <c r="B275" s="135"/>
      <c r="C275" s="136"/>
      <c r="D275" s="137"/>
      <c r="E275" s="138"/>
      <c r="F275" s="139"/>
      <c r="G275" s="137"/>
      <c r="H275" s="137"/>
      <c r="I275" s="140"/>
      <c r="J275" s="140"/>
      <c r="K275" s="140"/>
      <c r="L275" s="137"/>
      <c r="M275" s="141"/>
      <c r="N275" s="142"/>
      <c r="O275" s="141"/>
      <c r="P275" s="142"/>
      <c r="Q275" s="143"/>
      <c r="R275" s="143"/>
      <c r="S275" s="143"/>
      <c r="T275" s="144"/>
      <c r="U275" s="143"/>
      <c r="V275" s="143"/>
      <c r="W275" s="143"/>
      <c r="X275" s="143"/>
      <c r="Y275" s="145" t="e">
        <f>VLOOKUP(#REF!,#REF!,18,FALSE)</f>
        <v>#REF!</v>
      </c>
      <c r="Z275" s="146"/>
      <c r="AA275" s="147"/>
      <c r="AB275" s="147"/>
    </row>
    <row r="276" spans="1:28">
      <c r="A276" s="137"/>
      <c r="B276" s="135"/>
      <c r="C276" s="136"/>
      <c r="D276" s="137"/>
      <c r="E276" s="138"/>
      <c r="F276" s="139"/>
      <c r="G276" s="137"/>
      <c r="H276" s="137"/>
      <c r="I276" s="140"/>
      <c r="J276" s="140"/>
      <c r="K276" s="140"/>
      <c r="L276" s="137"/>
      <c r="M276" s="141"/>
      <c r="N276" s="142"/>
      <c r="O276" s="141"/>
      <c r="P276" s="142"/>
      <c r="Q276" s="143"/>
      <c r="R276" s="143"/>
      <c r="S276" s="143"/>
      <c r="T276" s="144"/>
      <c r="U276" s="143"/>
      <c r="V276" s="143"/>
      <c r="W276" s="143"/>
      <c r="X276" s="143"/>
      <c r="Y276" s="145" t="e">
        <f>VLOOKUP(#REF!,#REF!,18,FALSE)</f>
        <v>#REF!</v>
      </c>
      <c r="Z276" s="146"/>
      <c r="AA276" s="147"/>
      <c r="AB276" s="147"/>
    </row>
    <row r="277" spans="1:28">
      <c r="A277" s="137"/>
      <c r="B277" s="135"/>
      <c r="C277" s="136"/>
      <c r="D277" s="137"/>
      <c r="E277" s="138"/>
      <c r="F277" s="139"/>
      <c r="G277" s="137"/>
      <c r="H277" s="137"/>
      <c r="I277" s="140"/>
      <c r="J277" s="140"/>
      <c r="K277" s="140"/>
      <c r="L277" s="137"/>
      <c r="M277" s="141"/>
      <c r="N277" s="142"/>
      <c r="O277" s="141"/>
      <c r="P277" s="142"/>
      <c r="Q277" s="143"/>
      <c r="R277" s="143"/>
      <c r="S277" s="143"/>
      <c r="T277" s="144"/>
      <c r="U277" s="143"/>
      <c r="V277" s="143"/>
      <c r="W277" s="143"/>
      <c r="X277" s="143"/>
      <c r="Y277" s="145" t="e">
        <f>VLOOKUP(#REF!,#REF!,18,FALSE)</f>
        <v>#REF!</v>
      </c>
      <c r="Z277" s="146"/>
      <c r="AA277" s="147"/>
      <c r="AB277" s="147"/>
    </row>
    <row r="278" spans="1:28">
      <c r="A278" s="137"/>
      <c r="B278" s="135"/>
      <c r="C278" s="136"/>
      <c r="D278" s="137"/>
      <c r="E278" s="138"/>
      <c r="F278" s="139"/>
      <c r="G278" s="137"/>
      <c r="H278" s="137"/>
      <c r="I278" s="140"/>
      <c r="J278" s="140"/>
      <c r="K278" s="140"/>
      <c r="L278" s="137"/>
      <c r="M278" s="141"/>
      <c r="N278" s="142"/>
      <c r="O278" s="141"/>
      <c r="P278" s="142"/>
      <c r="Q278" s="143"/>
      <c r="R278" s="143"/>
      <c r="S278" s="143"/>
      <c r="T278" s="144"/>
      <c r="U278" s="143"/>
      <c r="V278" s="143"/>
      <c r="W278" s="143"/>
      <c r="X278" s="143"/>
      <c r="Y278" s="145" t="e">
        <f>VLOOKUP(#REF!,#REF!,18,FALSE)</f>
        <v>#REF!</v>
      </c>
      <c r="Z278" s="146"/>
      <c r="AA278" s="147"/>
      <c r="AB278" s="147"/>
    </row>
    <row r="279" spans="1:28">
      <c r="A279" s="137"/>
      <c r="B279" s="135"/>
      <c r="C279" s="136"/>
      <c r="D279" s="137"/>
      <c r="E279" s="138"/>
      <c r="F279" s="139"/>
      <c r="G279" s="137"/>
      <c r="H279" s="137"/>
      <c r="I279" s="140"/>
      <c r="J279" s="140"/>
      <c r="K279" s="140"/>
      <c r="L279" s="137"/>
      <c r="M279" s="141"/>
      <c r="N279" s="142"/>
      <c r="O279" s="141"/>
      <c r="P279" s="142"/>
      <c r="Q279" s="143"/>
      <c r="R279" s="143"/>
      <c r="S279" s="143"/>
      <c r="T279" s="144"/>
      <c r="U279" s="143"/>
      <c r="V279" s="143"/>
      <c r="W279" s="143"/>
      <c r="X279" s="143"/>
      <c r="Y279" s="145" t="e">
        <f>VLOOKUP(#REF!,#REF!,18,FALSE)</f>
        <v>#REF!</v>
      </c>
      <c r="Z279" s="146"/>
      <c r="AA279" s="147"/>
      <c r="AB279" s="147"/>
    </row>
    <row r="280" spans="1:28">
      <c r="A280" s="137"/>
      <c r="B280" s="135"/>
      <c r="C280" s="136"/>
      <c r="D280" s="137"/>
      <c r="E280" s="138"/>
      <c r="F280" s="139"/>
      <c r="G280" s="137"/>
      <c r="H280" s="137"/>
      <c r="I280" s="140"/>
      <c r="J280" s="140"/>
      <c r="K280" s="140"/>
      <c r="L280" s="137"/>
      <c r="M280" s="141"/>
      <c r="N280" s="142"/>
      <c r="O280" s="141"/>
      <c r="P280" s="142"/>
      <c r="Q280" s="143"/>
      <c r="R280" s="143"/>
      <c r="S280" s="143"/>
      <c r="T280" s="144"/>
      <c r="U280" s="143"/>
      <c r="V280" s="143"/>
      <c r="W280" s="143"/>
      <c r="X280" s="143"/>
      <c r="Y280" s="145" t="e">
        <f>VLOOKUP(#REF!,#REF!,18,FALSE)</f>
        <v>#REF!</v>
      </c>
      <c r="Z280" s="146"/>
      <c r="AA280" s="147"/>
      <c r="AB280" s="147"/>
    </row>
    <row r="281" spans="1:28">
      <c r="A281" s="137"/>
      <c r="B281" s="135"/>
      <c r="C281" s="136"/>
      <c r="D281" s="137"/>
      <c r="E281" s="138"/>
      <c r="F281" s="139"/>
      <c r="G281" s="137"/>
      <c r="H281" s="137"/>
      <c r="I281" s="140"/>
      <c r="J281" s="140"/>
      <c r="K281" s="140"/>
      <c r="L281" s="137"/>
      <c r="M281" s="141"/>
      <c r="N281" s="142"/>
      <c r="O281" s="141"/>
      <c r="P281" s="142"/>
      <c r="Q281" s="143"/>
      <c r="R281" s="143"/>
      <c r="S281" s="143"/>
      <c r="T281" s="144"/>
      <c r="U281" s="143"/>
      <c r="V281" s="143"/>
      <c r="W281" s="143"/>
      <c r="X281" s="143"/>
      <c r="Y281" s="145" t="e">
        <f>VLOOKUP(#REF!,#REF!,18,FALSE)</f>
        <v>#REF!</v>
      </c>
      <c r="Z281" s="146"/>
      <c r="AA281" s="147"/>
      <c r="AB281" s="147"/>
    </row>
    <row r="282" spans="1:28">
      <c r="A282" s="137"/>
      <c r="B282" s="135"/>
      <c r="C282" s="136"/>
      <c r="D282" s="137"/>
      <c r="E282" s="138"/>
      <c r="F282" s="139"/>
      <c r="G282" s="137"/>
      <c r="H282" s="137"/>
      <c r="I282" s="140"/>
      <c r="J282" s="140"/>
      <c r="K282" s="140"/>
      <c r="L282" s="137"/>
      <c r="M282" s="141"/>
      <c r="N282" s="142"/>
      <c r="O282" s="141"/>
      <c r="P282" s="142"/>
      <c r="Q282" s="143"/>
      <c r="R282" s="143"/>
      <c r="S282" s="143"/>
      <c r="T282" s="144"/>
      <c r="U282" s="143"/>
      <c r="V282" s="143"/>
      <c r="W282" s="143"/>
      <c r="X282" s="143"/>
      <c r="Y282" s="145" t="e">
        <f>VLOOKUP(#REF!,#REF!,18,FALSE)</f>
        <v>#REF!</v>
      </c>
      <c r="Z282" s="146"/>
      <c r="AA282" s="147"/>
      <c r="AB282" s="147"/>
    </row>
    <row r="283" spans="1:28">
      <c r="A283" s="137"/>
      <c r="B283" s="135"/>
      <c r="C283" s="136"/>
      <c r="D283" s="137"/>
      <c r="E283" s="138"/>
      <c r="F283" s="139"/>
      <c r="G283" s="137"/>
      <c r="H283" s="137"/>
      <c r="I283" s="140"/>
      <c r="J283" s="140"/>
      <c r="K283" s="140"/>
      <c r="L283" s="137"/>
      <c r="M283" s="141"/>
      <c r="N283" s="142"/>
      <c r="O283" s="141"/>
      <c r="P283" s="142"/>
      <c r="Q283" s="143"/>
      <c r="R283" s="143"/>
      <c r="S283" s="143"/>
      <c r="T283" s="144"/>
      <c r="U283" s="143"/>
      <c r="V283" s="143"/>
      <c r="W283" s="143"/>
      <c r="X283" s="143"/>
      <c r="Y283" s="145" t="e">
        <f>VLOOKUP(#REF!,#REF!,18,FALSE)</f>
        <v>#REF!</v>
      </c>
      <c r="Z283" s="146"/>
      <c r="AA283" s="147"/>
      <c r="AB283" s="147"/>
    </row>
    <row r="284" spans="1:28">
      <c r="A284" s="137"/>
      <c r="B284" s="135"/>
      <c r="C284" s="136"/>
      <c r="D284" s="137"/>
      <c r="E284" s="138"/>
      <c r="F284" s="139"/>
      <c r="G284" s="137"/>
      <c r="H284" s="137"/>
      <c r="I284" s="140"/>
      <c r="J284" s="140"/>
      <c r="K284" s="140"/>
      <c r="L284" s="137"/>
      <c r="M284" s="141"/>
      <c r="N284" s="142"/>
      <c r="O284" s="141"/>
      <c r="P284" s="142"/>
      <c r="Q284" s="143"/>
      <c r="R284" s="143"/>
      <c r="S284" s="143"/>
      <c r="T284" s="144"/>
      <c r="U284" s="143"/>
      <c r="V284" s="143"/>
      <c r="W284" s="143"/>
      <c r="X284" s="143"/>
      <c r="Y284" s="145" t="e">
        <f>VLOOKUP(#REF!,#REF!,18,FALSE)</f>
        <v>#REF!</v>
      </c>
      <c r="Z284" s="146"/>
      <c r="AA284" s="147"/>
      <c r="AB284" s="147"/>
    </row>
    <row r="285" spans="1:28">
      <c r="A285" s="137"/>
      <c r="B285" s="135"/>
      <c r="C285" s="136"/>
      <c r="D285" s="137"/>
      <c r="E285" s="138"/>
      <c r="F285" s="139"/>
      <c r="G285" s="137"/>
      <c r="H285" s="137"/>
      <c r="I285" s="140"/>
      <c r="J285" s="140"/>
      <c r="K285" s="140"/>
      <c r="L285" s="137"/>
      <c r="M285" s="141"/>
      <c r="N285" s="142"/>
      <c r="O285" s="141"/>
      <c r="P285" s="142"/>
      <c r="Q285" s="143"/>
      <c r="R285" s="143"/>
      <c r="S285" s="143"/>
      <c r="T285" s="144"/>
      <c r="U285" s="143"/>
      <c r="V285" s="143"/>
      <c r="W285" s="143"/>
      <c r="X285" s="143"/>
      <c r="Y285" s="145" t="e">
        <f>VLOOKUP(#REF!,#REF!,18,FALSE)</f>
        <v>#REF!</v>
      </c>
      <c r="Z285" s="146"/>
      <c r="AA285" s="147"/>
      <c r="AB285" s="147"/>
    </row>
    <row r="286" spans="1:28">
      <c r="A286" s="137"/>
      <c r="B286" s="135"/>
      <c r="C286" s="136"/>
      <c r="D286" s="137"/>
      <c r="E286" s="138"/>
      <c r="F286" s="139"/>
      <c r="G286" s="137"/>
      <c r="H286" s="137"/>
      <c r="I286" s="140"/>
      <c r="J286" s="140"/>
      <c r="K286" s="140"/>
      <c r="L286" s="137"/>
      <c r="M286" s="141"/>
      <c r="N286" s="142"/>
      <c r="O286" s="141"/>
      <c r="P286" s="142"/>
      <c r="Q286" s="143"/>
      <c r="R286" s="143"/>
      <c r="S286" s="143"/>
      <c r="T286" s="144"/>
      <c r="U286" s="143"/>
      <c r="V286" s="143"/>
      <c r="W286" s="143"/>
      <c r="X286" s="143"/>
      <c r="Y286" s="145" t="e">
        <f>VLOOKUP(#REF!,#REF!,18,FALSE)</f>
        <v>#REF!</v>
      </c>
      <c r="Z286" s="146"/>
      <c r="AA286" s="147"/>
      <c r="AB286" s="147"/>
    </row>
    <row r="287" spans="1:28">
      <c r="A287" s="137"/>
      <c r="B287" s="135"/>
      <c r="C287" s="136"/>
      <c r="D287" s="137"/>
      <c r="E287" s="138"/>
      <c r="F287" s="139"/>
      <c r="G287" s="137"/>
      <c r="H287" s="137"/>
      <c r="I287" s="140"/>
      <c r="J287" s="140"/>
      <c r="K287" s="140"/>
      <c r="L287" s="137"/>
      <c r="M287" s="141"/>
      <c r="N287" s="142"/>
      <c r="O287" s="141"/>
      <c r="P287" s="142"/>
      <c r="Q287" s="143"/>
      <c r="R287" s="143"/>
      <c r="S287" s="143"/>
      <c r="T287" s="144"/>
      <c r="U287" s="143"/>
      <c r="V287" s="143"/>
      <c r="W287" s="143"/>
      <c r="X287" s="143"/>
      <c r="Y287" s="145" t="e">
        <f>VLOOKUP(#REF!,#REF!,18,FALSE)</f>
        <v>#REF!</v>
      </c>
      <c r="Z287" s="146"/>
      <c r="AA287" s="147"/>
      <c r="AB287" s="147"/>
    </row>
    <row r="288" spans="1:28">
      <c r="A288" s="137"/>
      <c r="B288" s="135"/>
      <c r="C288" s="136"/>
      <c r="D288" s="137"/>
      <c r="E288" s="138"/>
      <c r="F288" s="139"/>
      <c r="G288" s="137"/>
      <c r="H288" s="137"/>
      <c r="I288" s="140"/>
      <c r="J288" s="140"/>
      <c r="K288" s="140"/>
      <c r="L288" s="137"/>
      <c r="M288" s="141"/>
      <c r="N288" s="142"/>
      <c r="O288" s="141"/>
      <c r="P288" s="142"/>
      <c r="Q288" s="143"/>
      <c r="R288" s="143"/>
      <c r="S288" s="143"/>
      <c r="T288" s="144"/>
      <c r="U288" s="143"/>
      <c r="V288" s="143"/>
      <c r="W288" s="143"/>
      <c r="X288" s="143"/>
      <c r="Y288" s="145" t="e">
        <f>VLOOKUP(#REF!,#REF!,18,FALSE)</f>
        <v>#REF!</v>
      </c>
      <c r="Z288" s="146"/>
      <c r="AA288" s="147"/>
      <c r="AB288" s="147"/>
    </row>
    <row r="289" spans="1:28">
      <c r="A289" s="137"/>
      <c r="B289" s="135"/>
      <c r="C289" s="136"/>
      <c r="D289" s="137"/>
      <c r="E289" s="138"/>
      <c r="F289" s="139"/>
      <c r="G289" s="137"/>
      <c r="H289" s="137"/>
      <c r="I289" s="140"/>
      <c r="J289" s="140"/>
      <c r="K289" s="140"/>
      <c r="L289" s="137"/>
      <c r="M289" s="141"/>
      <c r="N289" s="142"/>
      <c r="O289" s="141"/>
      <c r="P289" s="142"/>
      <c r="Q289" s="143"/>
      <c r="R289" s="143"/>
      <c r="S289" s="143"/>
      <c r="T289" s="144"/>
      <c r="U289" s="143"/>
      <c r="V289" s="143"/>
      <c r="W289" s="143"/>
      <c r="X289" s="143"/>
      <c r="Y289" s="145" t="e">
        <f>VLOOKUP(#REF!,#REF!,18,FALSE)</f>
        <v>#REF!</v>
      </c>
      <c r="Z289" s="146"/>
      <c r="AA289" s="147"/>
      <c r="AB289" s="147"/>
    </row>
    <row r="290" spans="1:28">
      <c r="A290" s="137"/>
      <c r="B290" s="135"/>
      <c r="C290" s="136"/>
      <c r="D290" s="137"/>
      <c r="E290" s="138"/>
      <c r="F290" s="139"/>
      <c r="G290" s="137"/>
      <c r="H290" s="137"/>
      <c r="I290" s="140"/>
      <c r="J290" s="140"/>
      <c r="K290" s="140"/>
      <c r="L290" s="137"/>
      <c r="M290" s="141"/>
      <c r="N290" s="142"/>
      <c r="O290" s="141"/>
      <c r="P290" s="142"/>
      <c r="Q290" s="143"/>
      <c r="R290" s="143"/>
      <c r="S290" s="143"/>
      <c r="T290" s="144"/>
      <c r="U290" s="143"/>
      <c r="V290" s="143"/>
      <c r="W290" s="143"/>
      <c r="X290" s="143"/>
      <c r="Y290" s="145" t="e">
        <f>VLOOKUP(#REF!,#REF!,18,FALSE)</f>
        <v>#REF!</v>
      </c>
      <c r="Z290" s="146"/>
      <c r="AA290" s="147"/>
      <c r="AB290" s="147"/>
    </row>
    <row r="291" spans="1:28">
      <c r="A291" s="137"/>
      <c r="B291" s="135"/>
      <c r="C291" s="136"/>
      <c r="D291" s="137"/>
      <c r="E291" s="138"/>
      <c r="F291" s="139"/>
      <c r="G291" s="137"/>
      <c r="H291" s="137"/>
      <c r="I291" s="140"/>
      <c r="J291" s="140"/>
      <c r="K291" s="140"/>
      <c r="L291" s="137"/>
      <c r="M291" s="141"/>
      <c r="N291" s="142"/>
      <c r="O291" s="141"/>
      <c r="P291" s="142"/>
      <c r="Q291" s="143"/>
      <c r="R291" s="143"/>
      <c r="S291" s="143"/>
      <c r="T291" s="144"/>
      <c r="U291" s="143"/>
      <c r="V291" s="143"/>
      <c r="W291" s="143"/>
      <c r="X291" s="143"/>
      <c r="Y291" s="145" t="e">
        <f>VLOOKUP(#REF!,#REF!,18,FALSE)</f>
        <v>#REF!</v>
      </c>
      <c r="Z291" s="146"/>
      <c r="AA291" s="147"/>
      <c r="AB291" s="147"/>
    </row>
    <row r="292" spans="1:28">
      <c r="A292" s="137"/>
      <c r="B292" s="135"/>
      <c r="C292" s="136"/>
      <c r="D292" s="137"/>
      <c r="E292" s="138"/>
      <c r="F292" s="139"/>
      <c r="G292" s="137"/>
      <c r="H292" s="137"/>
      <c r="I292" s="140"/>
      <c r="J292" s="140"/>
      <c r="K292" s="140"/>
      <c r="L292" s="137"/>
      <c r="M292" s="141"/>
      <c r="N292" s="142"/>
      <c r="O292" s="141"/>
      <c r="P292" s="142"/>
      <c r="Q292" s="143"/>
      <c r="R292" s="143"/>
      <c r="S292" s="143"/>
      <c r="T292" s="144"/>
      <c r="U292" s="143"/>
      <c r="V292" s="143"/>
      <c r="W292" s="143"/>
      <c r="X292" s="143"/>
      <c r="Y292" s="145" t="e">
        <f>VLOOKUP(#REF!,#REF!,18,FALSE)</f>
        <v>#REF!</v>
      </c>
      <c r="Z292" s="146"/>
      <c r="AA292" s="147"/>
      <c r="AB292" s="147"/>
    </row>
    <row r="293" spans="1:28">
      <c r="A293" s="137"/>
      <c r="B293" s="135"/>
      <c r="C293" s="136"/>
      <c r="D293" s="137"/>
      <c r="E293" s="138"/>
      <c r="F293" s="139"/>
      <c r="G293" s="137"/>
      <c r="H293" s="137"/>
      <c r="I293" s="140"/>
      <c r="J293" s="140"/>
      <c r="K293" s="140"/>
      <c r="L293" s="137"/>
      <c r="M293" s="141"/>
      <c r="N293" s="142"/>
      <c r="O293" s="141"/>
      <c r="P293" s="142"/>
      <c r="Q293" s="143"/>
      <c r="R293" s="143"/>
      <c r="S293" s="143"/>
      <c r="T293" s="144"/>
      <c r="U293" s="143"/>
      <c r="V293" s="143"/>
      <c r="W293" s="143"/>
      <c r="X293" s="143"/>
      <c r="Y293" s="145" t="e">
        <f>VLOOKUP(#REF!,#REF!,18,FALSE)</f>
        <v>#REF!</v>
      </c>
      <c r="Z293" s="146"/>
      <c r="AA293" s="147"/>
      <c r="AB293" s="147"/>
    </row>
    <row r="294" spans="1:28">
      <c r="A294" s="137"/>
      <c r="B294" s="135"/>
      <c r="C294" s="136"/>
      <c r="D294" s="137"/>
      <c r="E294" s="138"/>
      <c r="F294" s="139"/>
      <c r="G294" s="137"/>
      <c r="H294" s="137"/>
      <c r="I294" s="140"/>
      <c r="J294" s="140"/>
      <c r="K294" s="140"/>
      <c r="L294" s="137"/>
      <c r="M294" s="141"/>
      <c r="N294" s="142"/>
      <c r="O294" s="141"/>
      <c r="P294" s="142"/>
      <c r="Q294" s="143"/>
      <c r="R294" s="143"/>
      <c r="S294" s="143"/>
      <c r="T294" s="144"/>
      <c r="U294" s="143"/>
      <c r="V294" s="143"/>
      <c r="W294" s="143"/>
      <c r="X294" s="143"/>
      <c r="Y294" s="145" t="e">
        <f>VLOOKUP(#REF!,#REF!,18,FALSE)</f>
        <v>#REF!</v>
      </c>
      <c r="Z294" s="146"/>
      <c r="AA294" s="147"/>
      <c r="AB294" s="147"/>
    </row>
    <row r="295" spans="1:28">
      <c r="A295" s="137"/>
      <c r="B295" s="135"/>
      <c r="C295" s="136"/>
      <c r="D295" s="137"/>
      <c r="E295" s="138"/>
      <c r="F295" s="139"/>
      <c r="G295" s="137"/>
      <c r="H295" s="137"/>
      <c r="I295" s="140"/>
      <c r="J295" s="140"/>
      <c r="K295" s="140"/>
      <c r="L295" s="137"/>
      <c r="M295" s="141"/>
      <c r="N295" s="142"/>
      <c r="O295" s="141"/>
      <c r="P295" s="142"/>
      <c r="Q295" s="143"/>
      <c r="R295" s="143"/>
      <c r="S295" s="143"/>
      <c r="T295" s="144"/>
      <c r="U295" s="143"/>
      <c r="V295" s="143"/>
      <c r="W295" s="143"/>
      <c r="X295" s="143"/>
      <c r="Y295" s="145" t="e">
        <f>VLOOKUP(#REF!,#REF!,18,FALSE)</f>
        <v>#REF!</v>
      </c>
      <c r="Z295" s="146"/>
      <c r="AA295" s="147"/>
      <c r="AB295" s="147"/>
    </row>
    <row r="296" spans="1:28">
      <c r="A296" s="137"/>
      <c r="B296" s="135"/>
      <c r="C296" s="136"/>
      <c r="D296" s="137"/>
      <c r="E296" s="138"/>
      <c r="F296" s="139"/>
      <c r="G296" s="137"/>
      <c r="H296" s="137"/>
      <c r="I296" s="140"/>
      <c r="J296" s="140"/>
      <c r="K296" s="140"/>
      <c r="L296" s="137"/>
      <c r="M296" s="141"/>
      <c r="N296" s="142"/>
      <c r="O296" s="141"/>
      <c r="P296" s="142"/>
      <c r="Q296" s="143"/>
      <c r="R296" s="143"/>
      <c r="S296" s="143"/>
      <c r="T296" s="144"/>
      <c r="U296" s="143"/>
      <c r="V296" s="143"/>
      <c r="W296" s="143"/>
      <c r="X296" s="143"/>
      <c r="Y296" s="145" t="e">
        <f>VLOOKUP(#REF!,#REF!,18,FALSE)</f>
        <v>#REF!</v>
      </c>
      <c r="Z296" s="146"/>
      <c r="AA296" s="147"/>
      <c r="AB296" s="147"/>
    </row>
    <row r="297" spans="1:28">
      <c r="A297" s="137"/>
      <c r="B297" s="135"/>
      <c r="C297" s="136"/>
      <c r="D297" s="137"/>
      <c r="E297" s="138"/>
      <c r="F297" s="139"/>
      <c r="G297" s="137"/>
      <c r="H297" s="137"/>
      <c r="I297" s="140"/>
      <c r="J297" s="140"/>
      <c r="K297" s="140"/>
      <c r="L297" s="137"/>
      <c r="M297" s="141"/>
      <c r="N297" s="142"/>
      <c r="O297" s="141"/>
      <c r="P297" s="142"/>
      <c r="Q297" s="143"/>
      <c r="R297" s="143"/>
      <c r="S297" s="143"/>
      <c r="T297" s="144"/>
      <c r="U297" s="143"/>
      <c r="V297" s="143"/>
      <c r="W297" s="143"/>
      <c r="X297" s="143"/>
      <c r="Y297" s="145" t="e">
        <f>VLOOKUP(#REF!,#REF!,18,FALSE)</f>
        <v>#REF!</v>
      </c>
      <c r="Z297" s="146"/>
      <c r="AA297" s="147"/>
      <c r="AB297" s="147"/>
    </row>
    <row r="298" spans="1:28">
      <c r="A298" s="137"/>
      <c r="B298" s="135"/>
      <c r="C298" s="136"/>
      <c r="D298" s="137"/>
      <c r="E298" s="138"/>
      <c r="F298" s="139"/>
      <c r="G298" s="137"/>
      <c r="H298" s="137"/>
      <c r="I298" s="140"/>
      <c r="J298" s="140"/>
      <c r="K298" s="140"/>
      <c r="L298" s="137"/>
      <c r="M298" s="141"/>
      <c r="N298" s="142"/>
      <c r="O298" s="141"/>
      <c r="P298" s="142"/>
      <c r="Q298" s="143"/>
      <c r="R298" s="143"/>
      <c r="S298" s="143"/>
      <c r="T298" s="144"/>
      <c r="U298" s="143"/>
      <c r="V298" s="143"/>
      <c r="W298" s="143"/>
      <c r="X298" s="143"/>
      <c r="Y298" s="145" t="e">
        <f>VLOOKUP(#REF!,#REF!,18,FALSE)</f>
        <v>#REF!</v>
      </c>
      <c r="Z298" s="146"/>
      <c r="AA298" s="147"/>
      <c r="AB298" s="147"/>
    </row>
    <row r="299" spans="1:28">
      <c r="A299" s="137"/>
      <c r="B299" s="135"/>
      <c r="C299" s="136"/>
      <c r="D299" s="137"/>
      <c r="E299" s="138"/>
      <c r="F299" s="139"/>
      <c r="G299" s="137"/>
      <c r="H299" s="137"/>
      <c r="I299" s="140"/>
      <c r="J299" s="140"/>
      <c r="K299" s="140"/>
      <c r="L299" s="137"/>
      <c r="M299" s="141"/>
      <c r="N299" s="142"/>
      <c r="O299" s="141"/>
      <c r="P299" s="142"/>
      <c r="Q299" s="143"/>
      <c r="R299" s="143"/>
      <c r="S299" s="143"/>
      <c r="T299" s="144"/>
      <c r="U299" s="143"/>
      <c r="V299" s="143"/>
      <c r="W299" s="143"/>
      <c r="X299" s="143"/>
      <c r="Y299" s="145" t="e">
        <f>VLOOKUP(#REF!,#REF!,18,FALSE)</f>
        <v>#REF!</v>
      </c>
      <c r="Z299" s="146"/>
      <c r="AA299" s="147"/>
      <c r="AB299" s="147"/>
    </row>
    <row r="300" spans="1:28">
      <c r="A300" s="137"/>
      <c r="B300" s="135"/>
      <c r="C300" s="136"/>
      <c r="D300" s="137"/>
      <c r="E300" s="138"/>
      <c r="F300" s="139"/>
      <c r="G300" s="137"/>
      <c r="H300" s="137"/>
      <c r="I300" s="140"/>
      <c r="J300" s="140"/>
      <c r="K300" s="140"/>
      <c r="L300" s="137"/>
      <c r="M300" s="141"/>
      <c r="N300" s="142"/>
      <c r="O300" s="141"/>
      <c r="P300" s="142"/>
      <c r="Q300" s="143"/>
      <c r="R300" s="143"/>
      <c r="S300" s="143"/>
      <c r="T300" s="144"/>
      <c r="U300" s="143"/>
      <c r="V300" s="143"/>
      <c r="W300" s="143"/>
      <c r="X300" s="143"/>
      <c r="Y300" s="145" t="e">
        <f>VLOOKUP(#REF!,#REF!,18,FALSE)</f>
        <v>#REF!</v>
      </c>
      <c r="Z300" s="146"/>
      <c r="AA300" s="147"/>
      <c r="AB300" s="147"/>
    </row>
    <row r="301" spans="1:28">
      <c r="A301" s="137"/>
      <c r="B301" s="135"/>
      <c r="C301" s="136"/>
      <c r="D301" s="137"/>
      <c r="E301" s="138"/>
      <c r="F301" s="139"/>
      <c r="G301" s="137"/>
      <c r="H301" s="137"/>
      <c r="I301" s="140"/>
      <c r="J301" s="140"/>
      <c r="K301" s="140"/>
      <c r="L301" s="137"/>
      <c r="M301" s="141"/>
      <c r="N301" s="142"/>
      <c r="O301" s="141"/>
      <c r="P301" s="142"/>
      <c r="Q301" s="143"/>
      <c r="R301" s="143"/>
      <c r="S301" s="143"/>
      <c r="T301" s="144"/>
      <c r="U301" s="143"/>
      <c r="V301" s="143"/>
      <c r="W301" s="143"/>
      <c r="X301" s="143"/>
      <c r="Y301" s="145" t="e">
        <f>VLOOKUP(#REF!,#REF!,18,FALSE)</f>
        <v>#REF!</v>
      </c>
      <c r="Z301" s="146"/>
      <c r="AA301" s="147"/>
      <c r="AB301" s="147"/>
    </row>
    <row r="302" spans="1:28">
      <c r="A302" s="137"/>
      <c r="B302" s="135"/>
      <c r="C302" s="136"/>
      <c r="D302" s="137"/>
      <c r="E302" s="138"/>
      <c r="F302" s="139"/>
      <c r="G302" s="137"/>
      <c r="H302" s="137"/>
      <c r="I302" s="140"/>
      <c r="J302" s="140"/>
      <c r="K302" s="140"/>
      <c r="L302" s="137"/>
      <c r="M302" s="141"/>
      <c r="N302" s="142"/>
      <c r="O302" s="141"/>
      <c r="P302" s="142"/>
      <c r="Q302" s="143"/>
      <c r="R302" s="143"/>
      <c r="S302" s="143"/>
      <c r="T302" s="144"/>
      <c r="U302" s="143"/>
      <c r="V302" s="143"/>
      <c r="W302" s="143"/>
      <c r="X302" s="143"/>
      <c r="Y302" s="145" t="e">
        <f>VLOOKUP(#REF!,#REF!,18,FALSE)</f>
        <v>#REF!</v>
      </c>
      <c r="Z302" s="146"/>
      <c r="AA302" s="147"/>
      <c r="AB302" s="147"/>
    </row>
    <row r="303" spans="1:28">
      <c r="A303" s="137"/>
      <c r="B303" s="135"/>
      <c r="C303" s="136"/>
      <c r="D303" s="137"/>
      <c r="E303" s="138"/>
      <c r="F303" s="139"/>
      <c r="G303" s="137"/>
      <c r="H303" s="137"/>
      <c r="I303" s="140"/>
      <c r="J303" s="140"/>
      <c r="K303" s="140"/>
      <c r="L303" s="137"/>
      <c r="M303" s="141"/>
      <c r="N303" s="142"/>
      <c r="O303" s="141"/>
      <c r="P303" s="142"/>
      <c r="Q303" s="143"/>
      <c r="R303" s="143"/>
      <c r="S303" s="143"/>
      <c r="T303" s="144"/>
      <c r="U303" s="143"/>
      <c r="V303" s="143"/>
      <c r="W303" s="143"/>
      <c r="X303" s="143"/>
      <c r="Y303" s="145" t="e">
        <f>VLOOKUP(#REF!,#REF!,18,FALSE)</f>
        <v>#REF!</v>
      </c>
      <c r="Z303" s="146"/>
      <c r="AA303" s="147"/>
      <c r="AB303" s="147"/>
    </row>
    <row r="304" spans="1:28">
      <c r="A304" s="137"/>
      <c r="B304" s="135"/>
      <c r="C304" s="136"/>
      <c r="D304" s="137"/>
      <c r="E304" s="138"/>
      <c r="F304" s="139"/>
      <c r="G304" s="137"/>
      <c r="H304" s="137"/>
      <c r="I304" s="140"/>
      <c r="J304" s="140"/>
      <c r="K304" s="140"/>
      <c r="L304" s="137"/>
      <c r="M304" s="141"/>
      <c r="N304" s="142"/>
      <c r="O304" s="141"/>
      <c r="P304" s="142"/>
      <c r="Q304" s="143"/>
      <c r="R304" s="143"/>
      <c r="S304" s="143"/>
      <c r="T304" s="144"/>
      <c r="U304" s="143"/>
      <c r="V304" s="143"/>
      <c r="W304" s="143"/>
      <c r="X304" s="143"/>
      <c r="Y304" s="145" t="e">
        <f>VLOOKUP(#REF!,#REF!,18,FALSE)</f>
        <v>#REF!</v>
      </c>
      <c r="Z304" s="146"/>
      <c r="AA304" s="147"/>
      <c r="AB304" s="147"/>
    </row>
    <row r="305" spans="1:28">
      <c r="A305" s="137"/>
      <c r="B305" s="135"/>
      <c r="C305" s="136"/>
      <c r="D305" s="137"/>
      <c r="E305" s="138"/>
      <c r="F305" s="139"/>
      <c r="G305" s="137"/>
      <c r="H305" s="137"/>
      <c r="I305" s="140"/>
      <c r="J305" s="140"/>
      <c r="K305" s="140"/>
      <c r="L305" s="137"/>
      <c r="M305" s="141"/>
      <c r="N305" s="142"/>
      <c r="O305" s="141"/>
      <c r="P305" s="142"/>
      <c r="Q305" s="143"/>
      <c r="R305" s="143"/>
      <c r="S305" s="143"/>
      <c r="T305" s="144"/>
      <c r="U305" s="143"/>
      <c r="V305" s="143"/>
      <c r="W305" s="143"/>
      <c r="X305" s="143"/>
      <c r="Y305" s="145" t="e">
        <f>VLOOKUP(#REF!,#REF!,18,FALSE)</f>
        <v>#REF!</v>
      </c>
      <c r="Z305" s="146"/>
      <c r="AA305" s="147"/>
      <c r="AB305" s="147"/>
    </row>
    <row r="306" spans="1:28">
      <c r="A306" s="137"/>
      <c r="B306" s="135"/>
      <c r="C306" s="136"/>
      <c r="D306" s="137"/>
      <c r="E306" s="138"/>
      <c r="F306" s="139"/>
      <c r="G306" s="137"/>
      <c r="H306" s="137"/>
      <c r="I306" s="140"/>
      <c r="J306" s="140"/>
      <c r="K306" s="140"/>
      <c r="L306" s="137"/>
      <c r="M306" s="141"/>
      <c r="N306" s="142"/>
      <c r="O306" s="141"/>
      <c r="P306" s="142"/>
      <c r="Q306" s="143"/>
      <c r="R306" s="143"/>
      <c r="S306" s="143"/>
      <c r="T306" s="144"/>
      <c r="U306" s="143"/>
      <c r="V306" s="143"/>
      <c r="W306" s="143"/>
      <c r="X306" s="143"/>
      <c r="Y306" s="145" t="e">
        <f>VLOOKUP(#REF!,#REF!,18,FALSE)</f>
        <v>#REF!</v>
      </c>
      <c r="Z306" s="146"/>
      <c r="AA306" s="147"/>
      <c r="AB306" s="147"/>
    </row>
    <row r="307" spans="1:28">
      <c r="A307" s="137"/>
      <c r="B307" s="135"/>
      <c r="C307" s="136"/>
      <c r="D307" s="137"/>
      <c r="E307" s="138"/>
      <c r="F307" s="139"/>
      <c r="G307" s="137"/>
      <c r="H307" s="137"/>
      <c r="I307" s="140"/>
      <c r="J307" s="140"/>
      <c r="K307" s="140"/>
      <c r="L307" s="137"/>
      <c r="M307" s="141"/>
      <c r="N307" s="142"/>
      <c r="O307" s="141"/>
      <c r="P307" s="142"/>
      <c r="Q307" s="143"/>
      <c r="R307" s="143"/>
      <c r="S307" s="143"/>
      <c r="T307" s="144"/>
      <c r="U307" s="143"/>
      <c r="V307" s="143"/>
      <c r="W307" s="143"/>
      <c r="X307" s="143"/>
      <c r="Y307" s="145" t="e">
        <f>VLOOKUP(#REF!,#REF!,18,FALSE)</f>
        <v>#REF!</v>
      </c>
      <c r="Z307" s="146"/>
      <c r="AA307" s="147"/>
      <c r="AB307" s="147"/>
    </row>
    <row r="308" spans="1:28">
      <c r="A308" s="137"/>
      <c r="B308" s="135"/>
      <c r="C308" s="136"/>
      <c r="D308" s="137"/>
      <c r="E308" s="138"/>
      <c r="F308" s="139"/>
      <c r="G308" s="137"/>
      <c r="H308" s="137"/>
      <c r="I308" s="140"/>
      <c r="J308" s="140"/>
      <c r="K308" s="140"/>
      <c r="L308" s="137"/>
      <c r="M308" s="141"/>
      <c r="N308" s="142"/>
      <c r="O308" s="141"/>
      <c r="P308" s="142"/>
      <c r="Q308" s="143"/>
      <c r="R308" s="143"/>
      <c r="S308" s="143"/>
      <c r="T308" s="144"/>
      <c r="U308" s="143"/>
      <c r="V308" s="143"/>
      <c r="W308" s="143"/>
      <c r="X308" s="143"/>
      <c r="Y308" s="145" t="e">
        <f>VLOOKUP(#REF!,#REF!,18,FALSE)</f>
        <v>#REF!</v>
      </c>
      <c r="Z308" s="146"/>
      <c r="AA308" s="147"/>
      <c r="AB308" s="147"/>
    </row>
    <row r="309" spans="1:28">
      <c r="A309" s="137"/>
      <c r="B309" s="135"/>
      <c r="C309" s="136"/>
      <c r="D309" s="137"/>
      <c r="E309" s="138"/>
      <c r="F309" s="139"/>
      <c r="G309" s="137"/>
      <c r="H309" s="137"/>
      <c r="I309" s="140"/>
      <c r="J309" s="140"/>
      <c r="K309" s="140"/>
      <c r="L309" s="137"/>
      <c r="M309" s="141"/>
      <c r="N309" s="142"/>
      <c r="O309" s="141"/>
      <c r="P309" s="142"/>
      <c r="Q309" s="143"/>
      <c r="R309" s="143"/>
      <c r="S309" s="143"/>
      <c r="T309" s="144"/>
      <c r="U309" s="143"/>
      <c r="V309" s="143"/>
      <c r="W309" s="143"/>
      <c r="X309" s="143"/>
      <c r="Y309" s="145" t="e">
        <f>VLOOKUP(#REF!,#REF!,18,FALSE)</f>
        <v>#REF!</v>
      </c>
      <c r="Z309" s="146"/>
      <c r="AA309" s="147"/>
      <c r="AB309" s="147"/>
    </row>
    <row r="310" spans="1:28">
      <c r="A310" s="137"/>
      <c r="B310" s="135"/>
      <c r="C310" s="136"/>
      <c r="D310" s="137"/>
      <c r="E310" s="138"/>
      <c r="F310" s="139"/>
      <c r="G310" s="137"/>
      <c r="H310" s="137"/>
      <c r="I310" s="140"/>
      <c r="J310" s="140"/>
      <c r="K310" s="140"/>
      <c r="L310" s="137"/>
      <c r="M310" s="141"/>
      <c r="N310" s="142"/>
      <c r="O310" s="141"/>
      <c r="P310" s="142"/>
      <c r="Q310" s="143"/>
      <c r="R310" s="143"/>
      <c r="S310" s="143"/>
      <c r="T310" s="144"/>
      <c r="U310" s="143"/>
      <c r="V310" s="143"/>
      <c r="W310" s="143"/>
      <c r="X310" s="143"/>
      <c r="Y310" s="145" t="e">
        <f>VLOOKUP(#REF!,#REF!,18,FALSE)</f>
        <v>#REF!</v>
      </c>
      <c r="Z310" s="146"/>
      <c r="AA310" s="147"/>
      <c r="AB310" s="147"/>
    </row>
    <row r="311" spans="1:28">
      <c r="A311" s="137"/>
      <c r="B311" s="135"/>
      <c r="C311" s="136"/>
      <c r="D311" s="137"/>
      <c r="E311" s="138"/>
      <c r="F311" s="139"/>
      <c r="G311" s="137"/>
      <c r="H311" s="137"/>
      <c r="I311" s="140"/>
      <c r="J311" s="140"/>
      <c r="K311" s="140"/>
      <c r="L311" s="137"/>
      <c r="M311" s="141"/>
      <c r="N311" s="142"/>
      <c r="O311" s="141"/>
      <c r="P311" s="142"/>
      <c r="Q311" s="143"/>
      <c r="R311" s="143"/>
      <c r="S311" s="143"/>
      <c r="T311" s="144"/>
      <c r="U311" s="143"/>
      <c r="V311" s="143"/>
      <c r="W311" s="143"/>
      <c r="X311" s="143"/>
      <c r="Y311" s="145" t="e">
        <f>VLOOKUP(#REF!,#REF!,18,FALSE)</f>
        <v>#REF!</v>
      </c>
      <c r="Z311" s="146"/>
      <c r="AA311" s="147"/>
      <c r="AB311" s="147"/>
    </row>
    <row r="312" spans="1:28">
      <c r="A312" s="137"/>
      <c r="B312" s="135"/>
      <c r="C312" s="136"/>
      <c r="D312" s="137"/>
      <c r="E312" s="138"/>
      <c r="F312" s="139"/>
      <c r="G312" s="137"/>
      <c r="H312" s="137"/>
      <c r="I312" s="140"/>
      <c r="J312" s="140"/>
      <c r="K312" s="140"/>
      <c r="L312" s="137"/>
      <c r="M312" s="141"/>
      <c r="N312" s="142"/>
      <c r="O312" s="141"/>
      <c r="P312" s="142"/>
      <c r="Q312" s="143"/>
      <c r="R312" s="143"/>
      <c r="S312" s="143"/>
      <c r="T312" s="144"/>
      <c r="U312" s="143"/>
      <c r="V312" s="143"/>
      <c r="W312" s="143"/>
      <c r="X312" s="143"/>
      <c r="Y312" s="145" t="e">
        <f>VLOOKUP(#REF!,#REF!,18,FALSE)</f>
        <v>#REF!</v>
      </c>
      <c r="Z312" s="146"/>
      <c r="AA312" s="147"/>
      <c r="AB312" s="147"/>
    </row>
    <row r="313" spans="1:28">
      <c r="A313" s="137"/>
      <c r="B313" s="135"/>
      <c r="C313" s="136"/>
      <c r="D313" s="137"/>
      <c r="E313" s="138"/>
      <c r="F313" s="139"/>
      <c r="G313" s="137"/>
      <c r="H313" s="137"/>
      <c r="I313" s="140"/>
      <c r="J313" s="140"/>
      <c r="K313" s="140"/>
      <c r="L313" s="137"/>
      <c r="M313" s="141"/>
      <c r="N313" s="142"/>
      <c r="O313" s="141"/>
      <c r="P313" s="142"/>
      <c r="Q313" s="143"/>
      <c r="R313" s="143"/>
      <c r="S313" s="143"/>
      <c r="T313" s="144"/>
      <c r="U313" s="143"/>
      <c r="V313" s="143"/>
      <c r="W313" s="143"/>
      <c r="X313" s="143"/>
      <c r="Y313" s="145" t="e">
        <f>VLOOKUP(#REF!,#REF!,18,FALSE)</f>
        <v>#REF!</v>
      </c>
      <c r="Z313" s="146"/>
      <c r="AA313" s="147"/>
      <c r="AB313" s="147"/>
    </row>
    <row r="314" spans="1:28">
      <c r="A314" s="137"/>
      <c r="B314" s="135"/>
      <c r="C314" s="136"/>
      <c r="D314" s="137"/>
      <c r="E314" s="138"/>
      <c r="F314" s="139"/>
      <c r="G314" s="137"/>
      <c r="H314" s="137"/>
      <c r="I314" s="140"/>
      <c r="J314" s="140"/>
      <c r="K314" s="140"/>
      <c r="L314" s="137"/>
      <c r="M314" s="141"/>
      <c r="N314" s="142"/>
      <c r="O314" s="141"/>
      <c r="P314" s="142"/>
      <c r="Q314" s="143"/>
      <c r="R314" s="143"/>
      <c r="S314" s="143"/>
      <c r="T314" s="144"/>
      <c r="U314" s="143"/>
      <c r="V314" s="143"/>
      <c r="W314" s="143"/>
      <c r="X314" s="143"/>
      <c r="Y314" s="145" t="e">
        <f>VLOOKUP(#REF!,#REF!,18,FALSE)</f>
        <v>#REF!</v>
      </c>
      <c r="Z314" s="146"/>
      <c r="AA314" s="147"/>
      <c r="AB314" s="147"/>
    </row>
    <row r="315" spans="1:28">
      <c r="A315" s="137"/>
      <c r="B315" s="135"/>
      <c r="C315" s="136"/>
      <c r="D315" s="137"/>
      <c r="E315" s="138"/>
      <c r="F315" s="139"/>
      <c r="G315" s="137"/>
      <c r="H315" s="137"/>
      <c r="I315" s="140"/>
      <c r="J315" s="140"/>
      <c r="K315" s="140"/>
      <c r="L315" s="137"/>
      <c r="M315" s="141"/>
      <c r="N315" s="142"/>
      <c r="O315" s="141"/>
      <c r="P315" s="142"/>
      <c r="Q315" s="143"/>
      <c r="R315" s="143"/>
      <c r="S315" s="143"/>
      <c r="T315" s="144"/>
      <c r="U315" s="143"/>
      <c r="V315" s="143"/>
      <c r="W315" s="143"/>
      <c r="X315" s="143"/>
      <c r="Y315" s="145" t="e">
        <f>VLOOKUP(#REF!,#REF!,18,FALSE)</f>
        <v>#REF!</v>
      </c>
      <c r="Z315" s="146"/>
      <c r="AA315" s="147"/>
      <c r="AB315" s="147"/>
    </row>
    <row r="316" spans="1:28">
      <c r="A316" s="137"/>
      <c r="B316" s="135"/>
      <c r="C316" s="136"/>
      <c r="D316" s="137"/>
      <c r="E316" s="138"/>
      <c r="F316" s="139"/>
      <c r="G316" s="137"/>
      <c r="H316" s="137"/>
      <c r="I316" s="140"/>
      <c r="J316" s="140"/>
      <c r="K316" s="140"/>
      <c r="L316" s="137"/>
      <c r="M316" s="141"/>
      <c r="N316" s="142"/>
      <c r="O316" s="141"/>
      <c r="P316" s="142"/>
      <c r="Q316" s="143"/>
      <c r="R316" s="143"/>
      <c r="S316" s="143"/>
      <c r="T316" s="144"/>
      <c r="U316" s="143"/>
      <c r="V316" s="143"/>
      <c r="W316" s="143"/>
      <c r="X316" s="143"/>
      <c r="Y316" s="145" t="e">
        <f>VLOOKUP(#REF!,#REF!,18,FALSE)</f>
        <v>#REF!</v>
      </c>
      <c r="Z316" s="146"/>
      <c r="AA316" s="147"/>
      <c r="AB316" s="147"/>
    </row>
    <row r="317" spans="1:28">
      <c r="A317" s="137"/>
      <c r="B317" s="135"/>
      <c r="C317" s="136"/>
      <c r="D317" s="137"/>
      <c r="E317" s="138"/>
      <c r="F317" s="139"/>
      <c r="G317" s="137"/>
      <c r="H317" s="137"/>
      <c r="I317" s="140"/>
      <c r="J317" s="140"/>
      <c r="K317" s="140"/>
      <c r="L317" s="137"/>
      <c r="M317" s="141"/>
      <c r="N317" s="142"/>
      <c r="O317" s="141"/>
      <c r="P317" s="142"/>
      <c r="Q317" s="143"/>
      <c r="R317" s="143"/>
      <c r="S317" s="143"/>
      <c r="T317" s="144"/>
      <c r="U317" s="143"/>
      <c r="V317" s="143"/>
      <c r="W317" s="143"/>
      <c r="X317" s="143"/>
      <c r="Y317" s="145" t="e">
        <f>VLOOKUP(#REF!,#REF!,18,FALSE)</f>
        <v>#REF!</v>
      </c>
      <c r="Z317" s="146"/>
      <c r="AA317" s="147"/>
      <c r="AB317" s="147"/>
    </row>
    <row r="318" spans="1:28">
      <c r="A318" s="137"/>
      <c r="B318" s="135"/>
      <c r="C318" s="136"/>
      <c r="D318" s="137"/>
      <c r="E318" s="138"/>
      <c r="F318" s="139"/>
      <c r="G318" s="137"/>
      <c r="H318" s="137"/>
      <c r="I318" s="140"/>
      <c r="J318" s="140"/>
      <c r="K318" s="140"/>
      <c r="L318" s="137"/>
      <c r="M318" s="141"/>
      <c r="N318" s="142"/>
      <c r="O318" s="141"/>
      <c r="P318" s="142"/>
      <c r="Q318" s="143"/>
      <c r="R318" s="143"/>
      <c r="S318" s="143"/>
      <c r="T318" s="144"/>
      <c r="U318" s="143"/>
      <c r="V318" s="143"/>
      <c r="W318" s="143"/>
      <c r="X318" s="143"/>
      <c r="Y318" s="145" t="e">
        <f>VLOOKUP(#REF!,#REF!,18,FALSE)</f>
        <v>#REF!</v>
      </c>
      <c r="Z318" s="146"/>
      <c r="AA318" s="147"/>
      <c r="AB318" s="147"/>
    </row>
    <row r="319" spans="1:28">
      <c r="A319" s="137"/>
      <c r="B319" s="135"/>
      <c r="C319" s="136"/>
      <c r="D319" s="137"/>
      <c r="E319" s="138"/>
      <c r="F319" s="139"/>
      <c r="G319" s="137"/>
      <c r="H319" s="137"/>
      <c r="I319" s="140"/>
      <c r="J319" s="140"/>
      <c r="K319" s="140"/>
      <c r="L319" s="137"/>
      <c r="M319" s="141"/>
      <c r="N319" s="142"/>
      <c r="O319" s="141"/>
      <c r="P319" s="142"/>
      <c r="Q319" s="143"/>
      <c r="R319" s="143"/>
      <c r="S319" s="143"/>
      <c r="T319" s="144"/>
      <c r="U319" s="143"/>
      <c r="V319" s="143"/>
      <c r="W319" s="143"/>
      <c r="X319" s="143"/>
      <c r="Y319" s="145" t="e">
        <f>VLOOKUP(#REF!,#REF!,18,FALSE)</f>
        <v>#REF!</v>
      </c>
      <c r="Z319" s="146"/>
      <c r="AA319" s="147"/>
      <c r="AB319" s="147"/>
    </row>
    <row r="320" spans="1:28">
      <c r="A320" s="137"/>
      <c r="B320" s="135"/>
      <c r="C320" s="136"/>
      <c r="D320" s="137"/>
      <c r="E320" s="138"/>
      <c r="F320" s="139"/>
      <c r="G320" s="137"/>
      <c r="H320" s="137"/>
      <c r="I320" s="140"/>
      <c r="J320" s="140"/>
      <c r="K320" s="140"/>
      <c r="L320" s="137"/>
      <c r="M320" s="141"/>
      <c r="N320" s="142"/>
      <c r="O320" s="141"/>
      <c r="P320" s="142"/>
      <c r="Q320" s="143"/>
      <c r="R320" s="143"/>
      <c r="S320" s="143"/>
      <c r="T320" s="144"/>
      <c r="U320" s="143"/>
      <c r="V320" s="143"/>
      <c r="W320" s="143"/>
      <c r="X320" s="143"/>
      <c r="Y320" s="145" t="e">
        <f>VLOOKUP(#REF!,#REF!,18,FALSE)</f>
        <v>#REF!</v>
      </c>
      <c r="Z320" s="146"/>
      <c r="AA320" s="147"/>
      <c r="AB320" s="147"/>
    </row>
    <row r="321" spans="1:28">
      <c r="A321" s="137"/>
      <c r="B321" s="135"/>
      <c r="C321" s="136"/>
      <c r="D321" s="137"/>
      <c r="E321" s="138"/>
      <c r="F321" s="139"/>
      <c r="G321" s="137"/>
      <c r="H321" s="137"/>
      <c r="I321" s="140"/>
      <c r="J321" s="140"/>
      <c r="K321" s="140"/>
      <c r="L321" s="137"/>
      <c r="M321" s="141"/>
      <c r="N321" s="142"/>
      <c r="O321" s="141"/>
      <c r="P321" s="142"/>
      <c r="Q321" s="143"/>
      <c r="R321" s="143"/>
      <c r="S321" s="143"/>
      <c r="T321" s="144"/>
      <c r="U321" s="143"/>
      <c r="V321" s="143"/>
      <c r="W321" s="143"/>
      <c r="X321" s="143"/>
      <c r="Y321" s="145" t="e">
        <f>VLOOKUP(#REF!,#REF!,18,FALSE)</f>
        <v>#REF!</v>
      </c>
      <c r="Z321" s="146"/>
      <c r="AA321" s="147"/>
      <c r="AB321" s="147"/>
    </row>
    <row r="322" spans="1:28">
      <c r="A322" s="137"/>
      <c r="B322" s="135"/>
      <c r="C322" s="136"/>
      <c r="D322" s="137"/>
      <c r="E322" s="138"/>
      <c r="F322" s="139"/>
      <c r="G322" s="137"/>
      <c r="H322" s="137"/>
      <c r="I322" s="140"/>
      <c r="J322" s="140"/>
      <c r="K322" s="140"/>
      <c r="L322" s="137"/>
      <c r="M322" s="141"/>
      <c r="N322" s="142"/>
      <c r="O322" s="141"/>
      <c r="P322" s="142"/>
      <c r="Q322" s="143"/>
      <c r="R322" s="143"/>
      <c r="S322" s="143"/>
      <c r="T322" s="144"/>
      <c r="U322" s="143"/>
      <c r="V322" s="143"/>
      <c r="W322" s="143"/>
      <c r="X322" s="143"/>
      <c r="Y322" s="145" t="e">
        <f>VLOOKUP(#REF!,#REF!,18,FALSE)</f>
        <v>#REF!</v>
      </c>
      <c r="Z322" s="146"/>
      <c r="AA322" s="147"/>
      <c r="AB322" s="147"/>
    </row>
    <row r="323" spans="1:28">
      <c r="A323" s="137"/>
      <c r="B323" s="135"/>
      <c r="C323" s="136"/>
      <c r="D323" s="137"/>
      <c r="E323" s="138"/>
      <c r="F323" s="139"/>
      <c r="G323" s="137"/>
      <c r="H323" s="137"/>
      <c r="I323" s="140"/>
      <c r="J323" s="140"/>
      <c r="K323" s="140"/>
      <c r="L323" s="137"/>
      <c r="M323" s="141"/>
      <c r="N323" s="142"/>
      <c r="O323" s="141"/>
      <c r="P323" s="142"/>
      <c r="Q323" s="143"/>
      <c r="R323" s="143"/>
      <c r="S323" s="143"/>
      <c r="T323" s="144"/>
      <c r="U323" s="143"/>
      <c r="V323" s="143"/>
      <c r="W323" s="143"/>
      <c r="X323" s="143"/>
      <c r="Y323" s="145" t="e">
        <f>VLOOKUP(#REF!,#REF!,18,FALSE)</f>
        <v>#REF!</v>
      </c>
      <c r="Z323" s="146"/>
      <c r="AA323" s="147"/>
      <c r="AB323" s="147"/>
    </row>
    <row r="324" spans="1:28">
      <c r="A324" s="137"/>
      <c r="B324" s="135"/>
      <c r="C324" s="136"/>
      <c r="D324" s="137"/>
      <c r="E324" s="138"/>
      <c r="F324" s="139"/>
      <c r="G324" s="137"/>
      <c r="H324" s="137"/>
      <c r="I324" s="140"/>
      <c r="J324" s="140"/>
      <c r="K324" s="140"/>
      <c r="L324" s="137"/>
      <c r="M324" s="141"/>
      <c r="N324" s="142"/>
      <c r="O324" s="141"/>
      <c r="P324" s="142"/>
      <c r="Q324" s="143"/>
      <c r="R324" s="143"/>
      <c r="S324" s="143"/>
      <c r="T324" s="144"/>
      <c r="U324" s="143"/>
      <c r="V324" s="143"/>
      <c r="W324" s="143"/>
      <c r="X324" s="143"/>
      <c r="Y324" s="145" t="e">
        <f>VLOOKUP(#REF!,#REF!,18,FALSE)</f>
        <v>#REF!</v>
      </c>
      <c r="Z324" s="146"/>
      <c r="AA324" s="147"/>
      <c r="AB324" s="147"/>
    </row>
    <row r="325" spans="1:28">
      <c r="A325" s="137"/>
      <c r="B325" s="135"/>
      <c r="C325" s="136"/>
      <c r="D325" s="137"/>
      <c r="E325" s="138"/>
      <c r="F325" s="139"/>
      <c r="G325" s="137"/>
      <c r="H325" s="137"/>
      <c r="I325" s="140"/>
      <c r="J325" s="140"/>
      <c r="K325" s="140"/>
      <c r="L325" s="137"/>
      <c r="M325" s="141"/>
      <c r="N325" s="142"/>
      <c r="O325" s="141"/>
      <c r="P325" s="142"/>
      <c r="Q325" s="143"/>
      <c r="R325" s="143"/>
      <c r="S325" s="143"/>
      <c r="T325" s="144"/>
      <c r="U325" s="143"/>
      <c r="V325" s="143"/>
      <c r="W325" s="143"/>
      <c r="X325" s="143"/>
      <c r="Y325" s="145" t="e">
        <f>VLOOKUP(#REF!,#REF!,18,FALSE)</f>
        <v>#REF!</v>
      </c>
      <c r="Z325" s="146"/>
      <c r="AA325" s="147"/>
      <c r="AB325" s="147"/>
    </row>
    <row r="326" spans="1:28">
      <c r="A326" s="137"/>
      <c r="B326" s="135"/>
      <c r="C326" s="136"/>
      <c r="D326" s="137"/>
      <c r="E326" s="138"/>
      <c r="F326" s="139"/>
      <c r="G326" s="137"/>
      <c r="H326" s="137"/>
      <c r="I326" s="140"/>
      <c r="J326" s="140"/>
      <c r="K326" s="140"/>
      <c r="L326" s="137"/>
      <c r="M326" s="141"/>
      <c r="N326" s="142"/>
      <c r="O326" s="141"/>
      <c r="P326" s="142"/>
      <c r="Q326" s="143"/>
      <c r="R326" s="143"/>
      <c r="S326" s="143"/>
      <c r="T326" s="144"/>
      <c r="U326" s="143"/>
      <c r="V326" s="143"/>
      <c r="W326" s="143"/>
      <c r="X326" s="143"/>
      <c r="Y326" s="145" t="e">
        <f>VLOOKUP(#REF!,#REF!,18,FALSE)</f>
        <v>#REF!</v>
      </c>
      <c r="Z326" s="146"/>
      <c r="AA326" s="147"/>
      <c r="AB326" s="147"/>
    </row>
    <row r="327" spans="1:28">
      <c r="A327" s="137"/>
      <c r="B327" s="135"/>
      <c r="C327" s="136"/>
      <c r="D327" s="137"/>
      <c r="E327" s="138"/>
      <c r="F327" s="139"/>
      <c r="G327" s="137"/>
      <c r="H327" s="137"/>
      <c r="I327" s="140"/>
      <c r="J327" s="140"/>
      <c r="K327" s="140"/>
      <c r="L327" s="137"/>
      <c r="M327" s="141"/>
      <c r="N327" s="142"/>
      <c r="O327" s="141"/>
      <c r="P327" s="142"/>
      <c r="Q327" s="143"/>
      <c r="R327" s="143"/>
      <c r="S327" s="143"/>
      <c r="T327" s="144"/>
      <c r="U327" s="143"/>
      <c r="V327" s="143"/>
      <c r="W327" s="143"/>
      <c r="X327" s="143"/>
      <c r="Y327" s="145" t="e">
        <f>VLOOKUP(#REF!,#REF!,18,FALSE)</f>
        <v>#REF!</v>
      </c>
      <c r="Z327" s="146"/>
      <c r="AA327" s="147"/>
      <c r="AB327" s="147"/>
    </row>
    <row r="328" spans="1:28">
      <c r="A328" s="137"/>
      <c r="B328" s="135"/>
      <c r="C328" s="136"/>
      <c r="D328" s="137"/>
      <c r="E328" s="138"/>
      <c r="F328" s="139"/>
      <c r="G328" s="137"/>
      <c r="H328" s="137"/>
      <c r="I328" s="140"/>
      <c r="J328" s="140"/>
      <c r="K328" s="140"/>
      <c r="L328" s="137"/>
      <c r="M328" s="141"/>
      <c r="N328" s="142"/>
      <c r="O328" s="141"/>
      <c r="P328" s="142"/>
      <c r="Q328" s="143"/>
      <c r="R328" s="143"/>
      <c r="S328" s="143"/>
      <c r="T328" s="144"/>
      <c r="U328" s="143"/>
      <c r="V328" s="143"/>
      <c r="W328" s="143"/>
      <c r="X328" s="143"/>
      <c r="Y328" s="145" t="e">
        <f>VLOOKUP(#REF!,#REF!,18,FALSE)</f>
        <v>#REF!</v>
      </c>
      <c r="Z328" s="146"/>
      <c r="AA328" s="147"/>
      <c r="AB328" s="147"/>
    </row>
    <row r="329" spans="1:28">
      <c r="A329" s="137"/>
      <c r="B329" s="135"/>
      <c r="C329" s="136"/>
      <c r="D329" s="137"/>
      <c r="E329" s="138"/>
      <c r="F329" s="139"/>
      <c r="G329" s="137"/>
      <c r="H329" s="137"/>
      <c r="I329" s="140"/>
      <c r="J329" s="140"/>
      <c r="K329" s="140"/>
      <c r="L329" s="137"/>
      <c r="M329" s="141"/>
      <c r="N329" s="142"/>
      <c r="O329" s="141"/>
      <c r="P329" s="142"/>
      <c r="Q329" s="143"/>
      <c r="R329" s="143"/>
      <c r="S329" s="143"/>
      <c r="T329" s="144"/>
      <c r="U329" s="143"/>
      <c r="V329" s="143"/>
      <c r="W329" s="143"/>
      <c r="X329" s="143"/>
      <c r="Y329" s="145" t="e">
        <f>VLOOKUP(#REF!,#REF!,18,FALSE)</f>
        <v>#REF!</v>
      </c>
      <c r="Z329" s="146"/>
      <c r="AA329" s="147"/>
      <c r="AB329" s="147"/>
    </row>
    <row r="330" spans="1:28">
      <c r="A330" s="137"/>
      <c r="B330" s="135"/>
      <c r="C330" s="136"/>
      <c r="D330" s="137"/>
      <c r="E330" s="138"/>
      <c r="F330" s="139"/>
      <c r="G330" s="137"/>
      <c r="H330" s="137"/>
      <c r="I330" s="140"/>
      <c r="J330" s="140"/>
      <c r="K330" s="140"/>
      <c r="L330" s="137"/>
      <c r="M330" s="141"/>
      <c r="N330" s="142"/>
      <c r="O330" s="141"/>
      <c r="P330" s="142"/>
      <c r="Q330" s="143"/>
      <c r="R330" s="143"/>
      <c r="S330" s="143"/>
      <c r="T330" s="144"/>
      <c r="U330" s="143"/>
      <c r="V330" s="143"/>
      <c r="W330" s="143"/>
      <c r="X330" s="143"/>
      <c r="Y330" s="145" t="e">
        <f>VLOOKUP(#REF!,#REF!,18,FALSE)</f>
        <v>#REF!</v>
      </c>
      <c r="Z330" s="146"/>
      <c r="AA330" s="147"/>
      <c r="AB330" s="147"/>
    </row>
    <row r="331" spans="1:28">
      <c r="A331" s="137"/>
      <c r="B331" s="135"/>
      <c r="C331" s="136"/>
      <c r="D331" s="137"/>
      <c r="E331" s="138"/>
      <c r="F331" s="139"/>
      <c r="G331" s="137"/>
      <c r="H331" s="137"/>
      <c r="I331" s="140"/>
      <c r="J331" s="140"/>
      <c r="K331" s="140"/>
      <c r="L331" s="137"/>
      <c r="M331" s="141"/>
      <c r="N331" s="142"/>
      <c r="O331" s="141"/>
      <c r="P331" s="142"/>
      <c r="Q331" s="143"/>
      <c r="R331" s="143"/>
      <c r="S331" s="143"/>
      <c r="T331" s="144"/>
      <c r="U331" s="143"/>
      <c r="V331" s="143"/>
      <c r="W331" s="143"/>
      <c r="X331" s="143"/>
      <c r="Y331" s="145" t="e">
        <f>VLOOKUP(#REF!,#REF!,18,FALSE)</f>
        <v>#REF!</v>
      </c>
      <c r="Z331" s="146"/>
      <c r="AA331" s="147"/>
      <c r="AB331" s="147"/>
    </row>
    <row r="332" spans="1:28">
      <c r="A332" s="137"/>
      <c r="B332" s="135"/>
      <c r="C332" s="136"/>
      <c r="D332" s="137"/>
      <c r="E332" s="138"/>
      <c r="F332" s="139"/>
      <c r="G332" s="137"/>
      <c r="H332" s="137"/>
      <c r="I332" s="140"/>
      <c r="J332" s="140"/>
      <c r="K332" s="140"/>
      <c r="L332" s="137"/>
      <c r="M332" s="141"/>
      <c r="N332" s="142"/>
      <c r="O332" s="141"/>
      <c r="P332" s="142"/>
      <c r="Q332" s="143"/>
      <c r="R332" s="143"/>
      <c r="S332" s="143"/>
      <c r="T332" s="144"/>
      <c r="U332" s="143"/>
      <c r="V332" s="143"/>
      <c r="W332" s="143"/>
      <c r="X332" s="143"/>
      <c r="Y332" s="145" t="e">
        <f>VLOOKUP(#REF!,#REF!,18,FALSE)</f>
        <v>#REF!</v>
      </c>
      <c r="Z332" s="146"/>
      <c r="AA332" s="147"/>
      <c r="AB332" s="147"/>
    </row>
    <row r="333" spans="1:28">
      <c r="A333" s="137"/>
      <c r="B333" s="135"/>
      <c r="C333" s="136"/>
      <c r="D333" s="137"/>
      <c r="E333" s="138"/>
      <c r="F333" s="139"/>
      <c r="G333" s="137"/>
      <c r="H333" s="137"/>
      <c r="I333" s="140"/>
      <c r="J333" s="140"/>
      <c r="K333" s="140"/>
      <c r="L333" s="137"/>
      <c r="M333" s="141"/>
      <c r="N333" s="142"/>
      <c r="O333" s="141"/>
      <c r="P333" s="142"/>
      <c r="Q333" s="143"/>
      <c r="R333" s="143"/>
      <c r="S333" s="143"/>
      <c r="T333" s="144"/>
      <c r="U333" s="143"/>
      <c r="V333" s="143"/>
      <c r="W333" s="143"/>
      <c r="X333" s="143"/>
      <c r="Y333" s="145" t="e">
        <f>VLOOKUP(#REF!,#REF!,18,FALSE)</f>
        <v>#REF!</v>
      </c>
      <c r="Z333" s="146"/>
      <c r="AA333" s="147"/>
      <c r="AB333" s="147"/>
    </row>
    <row r="334" spans="1:28">
      <c r="A334" s="137"/>
      <c r="B334" s="135"/>
      <c r="C334" s="136"/>
      <c r="D334" s="137"/>
      <c r="E334" s="138"/>
      <c r="F334" s="139"/>
      <c r="G334" s="137"/>
      <c r="H334" s="137"/>
      <c r="I334" s="140"/>
      <c r="J334" s="140"/>
      <c r="K334" s="140"/>
      <c r="L334" s="137"/>
      <c r="M334" s="141"/>
      <c r="N334" s="142"/>
      <c r="O334" s="141"/>
      <c r="P334" s="142"/>
      <c r="Q334" s="143"/>
      <c r="R334" s="143"/>
      <c r="S334" s="143"/>
      <c r="T334" s="144"/>
      <c r="U334" s="143"/>
      <c r="V334" s="143"/>
      <c r="W334" s="143"/>
      <c r="X334" s="143"/>
      <c r="Y334" s="145" t="e">
        <f>VLOOKUP(#REF!,#REF!,18,FALSE)</f>
        <v>#REF!</v>
      </c>
      <c r="Z334" s="146"/>
      <c r="AA334" s="147"/>
      <c r="AB334" s="147"/>
    </row>
    <row r="335" spans="1:28">
      <c r="A335" s="137"/>
      <c r="B335" s="135"/>
      <c r="C335" s="136"/>
      <c r="D335" s="137"/>
      <c r="E335" s="138"/>
      <c r="F335" s="139"/>
      <c r="G335" s="137"/>
      <c r="H335" s="137"/>
      <c r="I335" s="140"/>
      <c r="J335" s="140"/>
      <c r="K335" s="140"/>
      <c r="L335" s="137"/>
      <c r="M335" s="141"/>
      <c r="N335" s="142"/>
      <c r="O335" s="141"/>
      <c r="P335" s="142"/>
      <c r="Q335" s="143"/>
      <c r="R335" s="143"/>
      <c r="S335" s="143"/>
      <c r="T335" s="144"/>
      <c r="U335" s="143"/>
      <c r="V335" s="143"/>
      <c r="W335" s="143"/>
      <c r="X335" s="143"/>
      <c r="Y335" s="145" t="e">
        <f>VLOOKUP(#REF!,#REF!,18,FALSE)</f>
        <v>#REF!</v>
      </c>
      <c r="Z335" s="146"/>
      <c r="AA335" s="147"/>
      <c r="AB335" s="147"/>
    </row>
    <row r="336" spans="1:28">
      <c r="A336" s="137"/>
      <c r="B336" s="135"/>
      <c r="C336" s="136"/>
      <c r="D336" s="137"/>
      <c r="E336" s="138"/>
      <c r="F336" s="139"/>
      <c r="G336" s="137"/>
      <c r="H336" s="137"/>
      <c r="I336" s="140"/>
      <c r="J336" s="140"/>
      <c r="K336" s="140"/>
      <c r="L336" s="137"/>
      <c r="M336" s="141"/>
      <c r="N336" s="142"/>
      <c r="O336" s="141"/>
      <c r="P336" s="142"/>
      <c r="Q336" s="143"/>
      <c r="R336" s="143"/>
      <c r="S336" s="143"/>
      <c r="T336" s="144"/>
      <c r="U336" s="143"/>
      <c r="V336" s="143"/>
      <c r="W336" s="143"/>
      <c r="X336" s="143"/>
      <c r="Y336" s="145" t="e">
        <f>VLOOKUP(#REF!,#REF!,18,FALSE)</f>
        <v>#REF!</v>
      </c>
      <c r="Z336" s="146"/>
      <c r="AA336" s="147"/>
      <c r="AB336" s="147"/>
    </row>
    <row r="337" spans="1:28">
      <c r="A337" s="137"/>
      <c r="B337" s="135"/>
      <c r="C337" s="136"/>
      <c r="D337" s="137"/>
      <c r="E337" s="138"/>
      <c r="F337" s="139"/>
      <c r="G337" s="137"/>
      <c r="H337" s="137"/>
      <c r="I337" s="140"/>
      <c r="J337" s="140"/>
      <c r="K337" s="140"/>
      <c r="L337" s="137"/>
      <c r="M337" s="141"/>
      <c r="N337" s="142"/>
      <c r="O337" s="141"/>
      <c r="P337" s="142"/>
      <c r="Q337" s="143"/>
      <c r="R337" s="143"/>
      <c r="S337" s="143"/>
      <c r="T337" s="144"/>
      <c r="U337" s="143"/>
      <c r="V337" s="143"/>
      <c r="W337" s="143"/>
      <c r="X337" s="143"/>
      <c r="Y337" s="145" t="e">
        <f>VLOOKUP(#REF!,#REF!,18,FALSE)</f>
        <v>#REF!</v>
      </c>
      <c r="Z337" s="146"/>
      <c r="AA337" s="147"/>
      <c r="AB337" s="147"/>
    </row>
    <row r="338" spans="1:28">
      <c r="A338" s="137"/>
      <c r="B338" s="135"/>
      <c r="C338" s="136"/>
      <c r="D338" s="137"/>
      <c r="E338" s="138"/>
      <c r="F338" s="139"/>
      <c r="G338" s="137"/>
      <c r="H338" s="137"/>
      <c r="I338" s="140"/>
      <c r="J338" s="140"/>
      <c r="K338" s="140"/>
      <c r="L338" s="137"/>
      <c r="M338" s="141"/>
      <c r="N338" s="142"/>
      <c r="O338" s="141"/>
      <c r="P338" s="142"/>
      <c r="Q338" s="143"/>
      <c r="R338" s="143"/>
      <c r="S338" s="143"/>
      <c r="T338" s="144"/>
      <c r="U338" s="143"/>
      <c r="V338" s="143"/>
      <c r="W338" s="143"/>
      <c r="X338" s="143"/>
      <c r="Y338" s="145" t="e">
        <f>VLOOKUP(#REF!,#REF!,18,FALSE)</f>
        <v>#REF!</v>
      </c>
      <c r="Z338" s="146"/>
      <c r="AA338" s="147"/>
      <c r="AB338" s="147"/>
    </row>
    <row r="339" spans="1:28">
      <c r="A339" s="137"/>
      <c r="B339" s="135"/>
      <c r="C339" s="136"/>
      <c r="D339" s="137"/>
      <c r="E339" s="138"/>
      <c r="F339" s="139"/>
      <c r="G339" s="137"/>
      <c r="H339" s="137"/>
      <c r="I339" s="140"/>
      <c r="J339" s="140"/>
      <c r="K339" s="140"/>
      <c r="L339" s="137"/>
      <c r="M339" s="141"/>
      <c r="N339" s="142"/>
      <c r="O339" s="141"/>
      <c r="P339" s="142"/>
      <c r="Q339" s="143"/>
      <c r="R339" s="143"/>
      <c r="S339" s="143"/>
      <c r="T339" s="144"/>
      <c r="U339" s="143"/>
      <c r="V339" s="143"/>
      <c r="W339" s="143"/>
      <c r="X339" s="143"/>
      <c r="Y339" s="145" t="e">
        <f>VLOOKUP(#REF!,#REF!,18,FALSE)</f>
        <v>#REF!</v>
      </c>
      <c r="Z339" s="146"/>
      <c r="AA339" s="147"/>
      <c r="AB339" s="147"/>
    </row>
    <row r="340" spans="1:28">
      <c r="A340" s="137"/>
      <c r="B340" s="135"/>
      <c r="C340" s="136"/>
      <c r="D340" s="137"/>
      <c r="E340" s="138"/>
      <c r="F340" s="139"/>
      <c r="G340" s="137"/>
      <c r="H340" s="137"/>
      <c r="I340" s="140"/>
      <c r="J340" s="140"/>
      <c r="K340" s="140"/>
      <c r="L340" s="137"/>
      <c r="M340" s="141"/>
      <c r="N340" s="142"/>
      <c r="O340" s="141"/>
      <c r="P340" s="142"/>
      <c r="Q340" s="143"/>
      <c r="R340" s="143"/>
      <c r="S340" s="143"/>
      <c r="T340" s="144"/>
      <c r="U340" s="143"/>
      <c r="V340" s="143"/>
      <c r="W340" s="143"/>
      <c r="X340" s="143"/>
      <c r="Y340" s="145" t="e">
        <f>VLOOKUP(#REF!,#REF!,18,FALSE)</f>
        <v>#REF!</v>
      </c>
      <c r="Z340" s="146"/>
      <c r="AA340" s="147"/>
      <c r="AB340" s="147"/>
    </row>
    <row r="341" spans="1:28">
      <c r="A341" s="137"/>
      <c r="B341" s="135"/>
      <c r="C341" s="136"/>
      <c r="D341" s="137"/>
      <c r="E341" s="138"/>
      <c r="F341" s="139"/>
      <c r="G341" s="137"/>
      <c r="H341" s="137"/>
      <c r="I341" s="140"/>
      <c r="J341" s="140"/>
      <c r="K341" s="140"/>
      <c r="L341" s="137"/>
      <c r="M341" s="141"/>
      <c r="N341" s="142"/>
      <c r="O341" s="141"/>
      <c r="P341" s="142"/>
      <c r="Q341" s="143"/>
      <c r="R341" s="143"/>
      <c r="S341" s="143"/>
      <c r="T341" s="144"/>
      <c r="U341" s="143"/>
      <c r="V341" s="143"/>
      <c r="W341" s="143"/>
      <c r="X341" s="143"/>
      <c r="Y341" s="145" t="e">
        <f>VLOOKUP(#REF!,#REF!,18,FALSE)</f>
        <v>#REF!</v>
      </c>
      <c r="Z341" s="146"/>
      <c r="AA341" s="147"/>
      <c r="AB341" s="147"/>
    </row>
    <row r="342" spans="1:28">
      <c r="A342" s="137"/>
      <c r="B342" s="135"/>
      <c r="C342" s="136"/>
      <c r="D342" s="137"/>
      <c r="E342" s="138"/>
      <c r="F342" s="139"/>
      <c r="G342" s="137"/>
      <c r="H342" s="137"/>
      <c r="I342" s="140"/>
      <c r="J342" s="140"/>
      <c r="K342" s="140"/>
      <c r="L342" s="137"/>
      <c r="M342" s="141"/>
      <c r="N342" s="142"/>
      <c r="O342" s="141"/>
      <c r="P342" s="142"/>
      <c r="Q342" s="143"/>
      <c r="R342" s="143"/>
      <c r="S342" s="143"/>
      <c r="T342" s="144"/>
      <c r="U342" s="143"/>
      <c r="V342" s="143"/>
      <c r="W342" s="143"/>
      <c r="X342" s="143"/>
      <c r="Y342" s="145" t="e">
        <f>VLOOKUP(#REF!,#REF!,18,FALSE)</f>
        <v>#REF!</v>
      </c>
      <c r="Z342" s="146"/>
      <c r="AA342" s="147"/>
      <c r="AB342" s="147"/>
    </row>
    <row r="343" spans="1:28">
      <c r="A343" s="137"/>
      <c r="B343" s="135"/>
      <c r="C343" s="136"/>
      <c r="D343" s="137"/>
      <c r="E343" s="138"/>
      <c r="F343" s="139"/>
      <c r="G343" s="137"/>
      <c r="H343" s="137"/>
      <c r="I343" s="140"/>
      <c r="J343" s="140"/>
      <c r="K343" s="140"/>
      <c r="L343" s="137"/>
      <c r="M343" s="141"/>
      <c r="N343" s="142"/>
      <c r="O343" s="141"/>
      <c r="P343" s="142"/>
      <c r="Q343" s="143"/>
      <c r="R343" s="143"/>
      <c r="S343" s="143"/>
      <c r="T343" s="144"/>
      <c r="U343" s="143"/>
      <c r="V343" s="143"/>
      <c r="W343" s="143"/>
      <c r="X343" s="143"/>
      <c r="Y343" s="145" t="e">
        <f>VLOOKUP(#REF!,#REF!,18,FALSE)</f>
        <v>#REF!</v>
      </c>
      <c r="Z343" s="146"/>
      <c r="AA343" s="147"/>
      <c r="AB343" s="147"/>
    </row>
    <row r="344" spans="1:28">
      <c r="A344" s="137"/>
      <c r="B344" s="135"/>
      <c r="C344" s="136"/>
      <c r="D344" s="137"/>
      <c r="E344" s="138"/>
      <c r="F344" s="139"/>
      <c r="G344" s="137"/>
      <c r="H344" s="137"/>
      <c r="I344" s="140"/>
      <c r="J344" s="140"/>
      <c r="K344" s="140"/>
      <c r="L344" s="137"/>
      <c r="M344" s="141"/>
      <c r="N344" s="142"/>
      <c r="O344" s="141"/>
      <c r="P344" s="142"/>
      <c r="Q344" s="143"/>
      <c r="R344" s="143"/>
      <c r="S344" s="143"/>
      <c r="T344" s="144"/>
      <c r="U344" s="143"/>
      <c r="V344" s="143"/>
      <c r="W344" s="143"/>
      <c r="X344" s="143"/>
      <c r="Y344" s="145" t="e">
        <f>VLOOKUP(#REF!,#REF!,18,FALSE)</f>
        <v>#REF!</v>
      </c>
      <c r="Z344" s="146"/>
      <c r="AA344" s="147"/>
      <c r="AB344" s="147"/>
    </row>
    <row r="345" spans="1:28">
      <c r="A345" s="137"/>
      <c r="B345" s="135"/>
      <c r="C345" s="136"/>
      <c r="D345" s="137"/>
      <c r="E345" s="138"/>
      <c r="F345" s="139"/>
      <c r="G345" s="137"/>
      <c r="H345" s="137"/>
      <c r="I345" s="140"/>
      <c r="J345" s="140"/>
      <c r="K345" s="140"/>
      <c r="L345" s="137"/>
      <c r="M345" s="141"/>
      <c r="N345" s="142"/>
      <c r="O345" s="141"/>
      <c r="P345" s="142"/>
      <c r="Q345" s="143"/>
      <c r="R345" s="143"/>
      <c r="S345" s="143"/>
      <c r="T345" s="144"/>
      <c r="U345" s="143"/>
      <c r="V345" s="143"/>
      <c r="W345" s="143"/>
      <c r="X345" s="143"/>
      <c r="Y345" s="145" t="e">
        <f>VLOOKUP(#REF!,#REF!,18,FALSE)</f>
        <v>#REF!</v>
      </c>
      <c r="Z345" s="146"/>
      <c r="AA345" s="147"/>
      <c r="AB345" s="147"/>
    </row>
    <row r="346" spans="1:28">
      <c r="A346" s="137"/>
      <c r="B346" s="135"/>
      <c r="C346" s="136"/>
      <c r="D346" s="137"/>
      <c r="E346" s="138"/>
      <c r="F346" s="139"/>
      <c r="G346" s="137"/>
      <c r="H346" s="137"/>
      <c r="I346" s="140"/>
      <c r="J346" s="140"/>
      <c r="K346" s="140"/>
      <c r="L346" s="137"/>
      <c r="M346" s="141"/>
      <c r="N346" s="142"/>
      <c r="O346" s="141"/>
      <c r="P346" s="142"/>
      <c r="Q346" s="143"/>
      <c r="R346" s="143"/>
      <c r="S346" s="143"/>
      <c r="T346" s="144"/>
      <c r="U346" s="143"/>
      <c r="V346" s="143"/>
      <c r="W346" s="143"/>
      <c r="X346" s="143"/>
      <c r="Y346" s="145" t="e">
        <f>VLOOKUP(#REF!,#REF!,18,FALSE)</f>
        <v>#REF!</v>
      </c>
      <c r="Z346" s="146"/>
      <c r="AA346" s="147"/>
      <c r="AB346" s="147"/>
    </row>
    <row r="347" spans="1:28">
      <c r="A347" s="137"/>
      <c r="B347" s="135"/>
      <c r="C347" s="136"/>
      <c r="D347" s="137"/>
      <c r="E347" s="138"/>
      <c r="F347" s="139"/>
      <c r="G347" s="137"/>
      <c r="H347" s="137"/>
      <c r="I347" s="140"/>
      <c r="J347" s="140"/>
      <c r="K347" s="140"/>
      <c r="L347" s="137"/>
      <c r="M347" s="141"/>
      <c r="N347" s="142"/>
      <c r="O347" s="141"/>
      <c r="P347" s="142"/>
      <c r="Q347" s="143"/>
      <c r="R347" s="143"/>
      <c r="S347" s="143"/>
      <c r="T347" s="144"/>
      <c r="U347" s="143"/>
      <c r="V347" s="143"/>
      <c r="W347" s="143"/>
      <c r="X347" s="143"/>
      <c r="Y347" s="145" t="e">
        <f>VLOOKUP(#REF!,#REF!,18,FALSE)</f>
        <v>#REF!</v>
      </c>
      <c r="Z347" s="146"/>
      <c r="AA347" s="147"/>
      <c r="AB347" s="147"/>
    </row>
    <row r="348" spans="1:28">
      <c r="A348" s="137"/>
      <c r="B348" s="135"/>
      <c r="C348" s="136"/>
      <c r="D348" s="137"/>
      <c r="E348" s="138"/>
      <c r="F348" s="139"/>
      <c r="G348" s="137"/>
      <c r="H348" s="137"/>
      <c r="I348" s="140"/>
      <c r="J348" s="140"/>
      <c r="K348" s="140"/>
      <c r="L348" s="137"/>
      <c r="M348" s="141"/>
      <c r="N348" s="142"/>
      <c r="O348" s="141"/>
      <c r="P348" s="142"/>
      <c r="Q348" s="143"/>
      <c r="R348" s="143"/>
      <c r="S348" s="143"/>
      <c r="T348" s="144"/>
      <c r="U348" s="143"/>
      <c r="V348" s="143"/>
      <c r="W348" s="143"/>
      <c r="X348" s="143"/>
      <c r="Y348" s="145" t="e">
        <f>VLOOKUP(#REF!,#REF!,18,FALSE)</f>
        <v>#REF!</v>
      </c>
      <c r="Z348" s="146"/>
      <c r="AA348" s="147"/>
      <c r="AB348" s="147"/>
    </row>
    <row r="349" spans="1:28">
      <c r="A349" s="137"/>
      <c r="B349" s="135"/>
      <c r="C349" s="136"/>
      <c r="D349" s="137"/>
      <c r="E349" s="138"/>
      <c r="F349" s="139"/>
      <c r="G349" s="137"/>
      <c r="H349" s="137"/>
      <c r="I349" s="140"/>
      <c r="J349" s="140"/>
      <c r="K349" s="140"/>
      <c r="L349" s="137"/>
      <c r="M349" s="141"/>
      <c r="N349" s="142"/>
      <c r="O349" s="141"/>
      <c r="P349" s="142"/>
      <c r="Q349" s="143"/>
      <c r="R349" s="143"/>
      <c r="S349" s="143"/>
      <c r="T349" s="144"/>
      <c r="U349" s="143"/>
      <c r="V349" s="143"/>
      <c r="W349" s="143"/>
      <c r="X349" s="143"/>
      <c r="Y349" s="145" t="e">
        <f>VLOOKUP(#REF!,#REF!,18,FALSE)</f>
        <v>#REF!</v>
      </c>
      <c r="Z349" s="146"/>
      <c r="AA349" s="147"/>
      <c r="AB349" s="147"/>
    </row>
    <row r="350" spans="1:28">
      <c r="A350" s="137"/>
      <c r="B350" s="135"/>
      <c r="C350" s="136"/>
      <c r="D350" s="137"/>
      <c r="E350" s="138"/>
      <c r="F350" s="139"/>
      <c r="G350" s="137"/>
      <c r="H350" s="137"/>
      <c r="I350" s="140"/>
      <c r="J350" s="140"/>
      <c r="K350" s="140"/>
      <c r="L350" s="137"/>
      <c r="M350" s="141"/>
      <c r="N350" s="142"/>
      <c r="O350" s="141"/>
      <c r="P350" s="142"/>
      <c r="Q350" s="143"/>
      <c r="R350" s="143"/>
      <c r="S350" s="143"/>
      <c r="T350" s="144"/>
      <c r="U350" s="143"/>
      <c r="V350" s="143"/>
      <c r="W350" s="143"/>
      <c r="X350" s="143"/>
      <c r="Y350" s="145" t="e">
        <f>VLOOKUP(#REF!,#REF!,18,FALSE)</f>
        <v>#REF!</v>
      </c>
      <c r="Z350" s="146"/>
      <c r="AA350" s="147"/>
      <c r="AB350" s="147"/>
    </row>
    <row r="351" spans="1:28">
      <c r="A351" s="137"/>
      <c r="B351" s="135"/>
      <c r="C351" s="136"/>
      <c r="D351" s="137"/>
      <c r="E351" s="138"/>
      <c r="F351" s="139"/>
      <c r="G351" s="137"/>
      <c r="H351" s="137"/>
      <c r="I351" s="140"/>
      <c r="J351" s="140"/>
      <c r="K351" s="140"/>
      <c r="L351" s="137"/>
      <c r="M351" s="141"/>
      <c r="N351" s="142"/>
      <c r="O351" s="141"/>
      <c r="P351" s="142"/>
      <c r="Q351" s="143"/>
      <c r="R351" s="143"/>
      <c r="S351" s="143"/>
      <c r="T351" s="144"/>
      <c r="U351" s="143"/>
      <c r="V351" s="143"/>
      <c r="W351" s="143"/>
      <c r="X351" s="143"/>
      <c r="Y351" s="145" t="e">
        <f>VLOOKUP(#REF!,#REF!,18,FALSE)</f>
        <v>#REF!</v>
      </c>
      <c r="Z351" s="146"/>
      <c r="AA351" s="147"/>
      <c r="AB351" s="147"/>
    </row>
    <row r="352" spans="1:28">
      <c r="A352" s="137"/>
      <c r="B352" s="135"/>
      <c r="C352" s="136"/>
      <c r="D352" s="137"/>
      <c r="E352" s="138"/>
      <c r="F352" s="139"/>
      <c r="G352" s="137"/>
      <c r="H352" s="137"/>
      <c r="I352" s="140"/>
      <c r="J352" s="140"/>
      <c r="K352" s="140"/>
      <c r="L352" s="137"/>
      <c r="M352" s="141"/>
      <c r="N352" s="142"/>
      <c r="O352" s="141"/>
      <c r="P352" s="142"/>
      <c r="Q352" s="143"/>
      <c r="R352" s="143"/>
      <c r="S352" s="143"/>
      <c r="T352" s="144"/>
      <c r="U352" s="143"/>
      <c r="V352" s="143"/>
      <c r="W352" s="143"/>
      <c r="X352" s="143"/>
      <c r="Y352" s="145" t="e">
        <f>VLOOKUP(#REF!,#REF!,18,FALSE)</f>
        <v>#REF!</v>
      </c>
      <c r="Z352" s="146"/>
      <c r="AA352" s="147"/>
      <c r="AB352" s="147"/>
    </row>
    <row r="353" spans="1:28">
      <c r="A353" s="137"/>
      <c r="B353" s="135"/>
      <c r="C353" s="136"/>
      <c r="D353" s="137"/>
      <c r="E353" s="138"/>
      <c r="F353" s="139"/>
      <c r="G353" s="137"/>
      <c r="H353" s="137"/>
      <c r="I353" s="140"/>
      <c r="J353" s="140"/>
      <c r="K353" s="140"/>
      <c r="L353" s="137"/>
      <c r="M353" s="141"/>
      <c r="N353" s="142"/>
      <c r="O353" s="141"/>
      <c r="P353" s="142"/>
      <c r="Q353" s="143"/>
      <c r="R353" s="143"/>
      <c r="S353" s="143"/>
      <c r="T353" s="144"/>
      <c r="U353" s="143"/>
      <c r="V353" s="143"/>
      <c r="W353" s="143"/>
      <c r="X353" s="143"/>
      <c r="Y353" s="145" t="e">
        <f>VLOOKUP(#REF!,#REF!,18,FALSE)</f>
        <v>#REF!</v>
      </c>
      <c r="Z353" s="146"/>
      <c r="AA353" s="147"/>
      <c r="AB353" s="147"/>
    </row>
    <row r="354" spans="1:28">
      <c r="A354" s="137"/>
      <c r="B354" s="135"/>
      <c r="C354" s="136"/>
      <c r="D354" s="137"/>
      <c r="E354" s="138"/>
      <c r="F354" s="139"/>
      <c r="G354" s="137"/>
      <c r="H354" s="137"/>
      <c r="I354" s="140"/>
      <c r="J354" s="140"/>
      <c r="K354" s="140"/>
      <c r="L354" s="137"/>
      <c r="M354" s="141"/>
      <c r="N354" s="142"/>
      <c r="O354" s="141"/>
      <c r="P354" s="142"/>
      <c r="Q354" s="143"/>
      <c r="R354" s="143"/>
      <c r="S354" s="143"/>
      <c r="T354" s="144"/>
      <c r="U354" s="143"/>
      <c r="V354" s="143"/>
      <c r="W354" s="143"/>
      <c r="X354" s="143"/>
      <c r="Y354" s="145" t="e">
        <f>VLOOKUP(#REF!,#REF!,18,FALSE)</f>
        <v>#REF!</v>
      </c>
      <c r="Z354" s="146"/>
      <c r="AA354" s="147"/>
      <c r="AB354" s="147"/>
    </row>
    <row r="355" spans="1:28">
      <c r="A355" s="137"/>
      <c r="B355" s="135"/>
      <c r="C355" s="136"/>
      <c r="D355" s="137"/>
      <c r="E355" s="138"/>
      <c r="F355" s="139"/>
      <c r="G355" s="137"/>
      <c r="H355" s="137"/>
      <c r="I355" s="140"/>
      <c r="J355" s="140"/>
      <c r="K355" s="140"/>
      <c r="L355" s="137"/>
      <c r="M355" s="141"/>
      <c r="N355" s="142"/>
      <c r="O355" s="141"/>
      <c r="P355" s="142"/>
      <c r="Q355" s="143"/>
      <c r="R355" s="143"/>
      <c r="S355" s="143"/>
      <c r="T355" s="144"/>
      <c r="U355" s="143"/>
      <c r="V355" s="143"/>
      <c r="W355" s="143"/>
      <c r="X355" s="143"/>
      <c r="Y355" s="145" t="e">
        <f>VLOOKUP(#REF!,#REF!,18,FALSE)</f>
        <v>#REF!</v>
      </c>
      <c r="Z355" s="146"/>
      <c r="AA355" s="147"/>
      <c r="AB355" s="147"/>
    </row>
    <row r="356" spans="1:28">
      <c r="A356" s="137"/>
      <c r="B356" s="135"/>
      <c r="C356" s="136"/>
      <c r="D356" s="137"/>
      <c r="E356" s="138"/>
      <c r="F356" s="139"/>
      <c r="G356" s="137"/>
      <c r="H356" s="137"/>
      <c r="I356" s="140"/>
      <c r="J356" s="140"/>
      <c r="K356" s="140"/>
      <c r="L356" s="137"/>
      <c r="M356" s="141"/>
      <c r="N356" s="142"/>
      <c r="O356" s="141"/>
      <c r="P356" s="142"/>
      <c r="Q356" s="143"/>
      <c r="R356" s="143"/>
      <c r="S356" s="143"/>
      <c r="T356" s="144"/>
      <c r="U356" s="143"/>
      <c r="V356" s="143"/>
      <c r="W356" s="143"/>
      <c r="X356" s="143"/>
      <c r="Y356" s="145" t="e">
        <f>VLOOKUP(#REF!,#REF!,18,FALSE)</f>
        <v>#REF!</v>
      </c>
      <c r="Z356" s="146"/>
      <c r="AA356" s="147"/>
      <c r="AB356" s="147"/>
    </row>
    <row r="357" spans="1:28">
      <c r="A357" s="137"/>
      <c r="B357" s="135"/>
      <c r="C357" s="136"/>
      <c r="D357" s="137"/>
      <c r="E357" s="138"/>
      <c r="F357" s="139"/>
      <c r="G357" s="137"/>
      <c r="H357" s="137"/>
      <c r="I357" s="140"/>
      <c r="J357" s="140"/>
      <c r="K357" s="140"/>
      <c r="L357" s="137"/>
      <c r="M357" s="141"/>
      <c r="N357" s="142"/>
      <c r="O357" s="141"/>
      <c r="P357" s="142"/>
      <c r="Q357" s="143"/>
      <c r="R357" s="143"/>
      <c r="S357" s="143"/>
      <c r="T357" s="144"/>
      <c r="U357" s="143"/>
      <c r="V357" s="143"/>
      <c r="W357" s="143"/>
      <c r="X357" s="143"/>
      <c r="Y357" s="145" t="e">
        <f>VLOOKUP(#REF!,#REF!,18,FALSE)</f>
        <v>#REF!</v>
      </c>
      <c r="Z357" s="146"/>
      <c r="AA357" s="147"/>
      <c r="AB357" s="147"/>
    </row>
    <row r="358" spans="1:28">
      <c r="A358" s="137"/>
      <c r="B358" s="135"/>
      <c r="C358" s="136"/>
      <c r="D358" s="137"/>
      <c r="E358" s="138"/>
      <c r="F358" s="139"/>
      <c r="G358" s="137"/>
      <c r="H358" s="137"/>
      <c r="I358" s="140"/>
      <c r="J358" s="140"/>
      <c r="K358" s="140"/>
      <c r="L358" s="137"/>
      <c r="M358" s="141"/>
      <c r="N358" s="142"/>
      <c r="O358" s="141"/>
      <c r="P358" s="142"/>
      <c r="Q358" s="143"/>
      <c r="R358" s="143"/>
      <c r="S358" s="143"/>
      <c r="T358" s="144"/>
      <c r="U358" s="143"/>
      <c r="V358" s="143"/>
      <c r="W358" s="143"/>
      <c r="X358" s="143"/>
      <c r="Y358" s="145" t="e">
        <f>VLOOKUP(#REF!,#REF!,18,FALSE)</f>
        <v>#REF!</v>
      </c>
      <c r="Z358" s="146"/>
      <c r="AA358" s="147"/>
      <c r="AB358" s="147"/>
    </row>
    <row r="359" spans="1:28">
      <c r="A359" s="137"/>
      <c r="B359" s="135"/>
      <c r="C359" s="136"/>
      <c r="D359" s="137"/>
      <c r="E359" s="138"/>
      <c r="F359" s="139"/>
      <c r="G359" s="137"/>
      <c r="H359" s="137"/>
      <c r="I359" s="140"/>
      <c r="J359" s="140"/>
      <c r="K359" s="140"/>
      <c r="L359" s="137"/>
      <c r="M359" s="141"/>
      <c r="N359" s="142"/>
      <c r="O359" s="141"/>
      <c r="P359" s="142"/>
      <c r="Q359" s="143"/>
      <c r="R359" s="143"/>
      <c r="S359" s="143"/>
      <c r="T359" s="144"/>
      <c r="U359" s="143"/>
      <c r="V359" s="143"/>
      <c r="W359" s="143"/>
      <c r="X359" s="143"/>
      <c r="Y359" s="145" t="e">
        <f>VLOOKUP(#REF!,#REF!,18,FALSE)</f>
        <v>#REF!</v>
      </c>
      <c r="Z359" s="146"/>
      <c r="AA359" s="147"/>
      <c r="AB359" s="147"/>
    </row>
    <row r="360" spans="1:28">
      <c r="A360" s="137"/>
      <c r="B360" s="135"/>
      <c r="C360" s="136"/>
      <c r="D360" s="137"/>
      <c r="E360" s="138"/>
      <c r="F360" s="139"/>
      <c r="G360" s="137"/>
      <c r="H360" s="137"/>
      <c r="I360" s="140"/>
      <c r="J360" s="140"/>
      <c r="K360" s="140"/>
      <c r="L360" s="137"/>
      <c r="M360" s="141"/>
      <c r="N360" s="142"/>
      <c r="O360" s="141"/>
      <c r="P360" s="142"/>
      <c r="Q360" s="143"/>
      <c r="R360" s="143"/>
      <c r="S360" s="143"/>
      <c r="T360" s="144"/>
      <c r="U360" s="143"/>
      <c r="V360" s="143"/>
      <c r="W360" s="143"/>
      <c r="X360" s="143"/>
      <c r="Y360" s="145" t="e">
        <f>VLOOKUP(#REF!,#REF!,18,FALSE)</f>
        <v>#REF!</v>
      </c>
      <c r="Z360" s="146"/>
      <c r="AA360" s="147"/>
      <c r="AB360" s="147"/>
    </row>
    <row r="361" spans="1:28">
      <c r="A361" s="137"/>
      <c r="B361" s="135"/>
      <c r="C361" s="136"/>
      <c r="D361" s="137"/>
      <c r="E361" s="138"/>
      <c r="F361" s="139"/>
      <c r="G361" s="137"/>
      <c r="H361" s="137"/>
      <c r="I361" s="140"/>
      <c r="J361" s="140"/>
      <c r="K361" s="140"/>
      <c r="L361" s="137"/>
      <c r="M361" s="141"/>
      <c r="N361" s="142"/>
      <c r="O361" s="141"/>
      <c r="P361" s="142"/>
      <c r="Q361" s="143"/>
      <c r="R361" s="143"/>
      <c r="S361" s="143"/>
      <c r="T361" s="144"/>
      <c r="U361" s="143"/>
      <c r="V361" s="143"/>
      <c r="W361" s="143"/>
      <c r="X361" s="143"/>
      <c r="Y361" s="145" t="e">
        <f>VLOOKUP(#REF!,#REF!,18,FALSE)</f>
        <v>#REF!</v>
      </c>
      <c r="Z361" s="146"/>
      <c r="AA361" s="147"/>
      <c r="AB361" s="147"/>
    </row>
    <row r="362" spans="1:28">
      <c r="A362" s="137"/>
      <c r="B362" s="135"/>
      <c r="C362" s="136"/>
      <c r="D362" s="137"/>
      <c r="E362" s="138"/>
      <c r="F362" s="139"/>
      <c r="G362" s="137"/>
      <c r="H362" s="137"/>
      <c r="I362" s="140"/>
      <c r="J362" s="140"/>
      <c r="K362" s="140"/>
      <c r="L362" s="137"/>
      <c r="M362" s="141"/>
      <c r="N362" s="142"/>
      <c r="O362" s="141"/>
      <c r="P362" s="142"/>
      <c r="Q362" s="143"/>
      <c r="R362" s="143"/>
      <c r="S362" s="143"/>
      <c r="T362" s="144"/>
      <c r="U362" s="143"/>
      <c r="V362" s="143"/>
      <c r="W362" s="143"/>
      <c r="X362" s="143"/>
      <c r="Y362" s="145" t="e">
        <f>VLOOKUP(#REF!,#REF!,18,FALSE)</f>
        <v>#REF!</v>
      </c>
      <c r="Z362" s="146"/>
      <c r="AA362" s="147"/>
      <c r="AB362" s="147"/>
    </row>
    <row r="363" spans="1:28">
      <c r="A363" s="137"/>
      <c r="B363" s="135"/>
      <c r="C363" s="136"/>
      <c r="D363" s="137"/>
      <c r="E363" s="138"/>
      <c r="F363" s="139"/>
      <c r="G363" s="137"/>
      <c r="H363" s="137"/>
      <c r="I363" s="140"/>
      <c r="J363" s="140"/>
      <c r="K363" s="140"/>
      <c r="L363" s="137"/>
      <c r="M363" s="141"/>
      <c r="N363" s="142"/>
      <c r="O363" s="141"/>
      <c r="P363" s="142"/>
      <c r="Q363" s="143"/>
      <c r="R363" s="143"/>
      <c r="S363" s="143"/>
      <c r="T363" s="144"/>
      <c r="U363" s="143"/>
      <c r="V363" s="143"/>
      <c r="W363" s="143"/>
      <c r="X363" s="143"/>
      <c r="Y363" s="145" t="e">
        <f>VLOOKUP(#REF!,#REF!,18,FALSE)</f>
        <v>#REF!</v>
      </c>
      <c r="Z363" s="146"/>
      <c r="AA363" s="147"/>
      <c r="AB363" s="147"/>
    </row>
    <row r="364" spans="1:28">
      <c r="A364" s="137"/>
      <c r="B364" s="135"/>
      <c r="C364" s="136"/>
      <c r="D364" s="137"/>
      <c r="E364" s="138"/>
      <c r="F364" s="139"/>
      <c r="G364" s="137"/>
      <c r="H364" s="137"/>
      <c r="I364" s="140"/>
      <c r="J364" s="140"/>
      <c r="K364" s="140"/>
      <c r="L364" s="137"/>
      <c r="M364" s="141"/>
      <c r="N364" s="142"/>
      <c r="O364" s="141"/>
      <c r="P364" s="142"/>
      <c r="Q364" s="143"/>
      <c r="R364" s="143"/>
      <c r="S364" s="143"/>
      <c r="T364" s="144"/>
      <c r="U364" s="143"/>
      <c r="V364" s="143"/>
      <c r="W364" s="143"/>
      <c r="X364" s="143"/>
      <c r="Y364" s="145" t="e">
        <f>VLOOKUP(#REF!,#REF!,18,FALSE)</f>
        <v>#REF!</v>
      </c>
      <c r="Z364" s="146"/>
      <c r="AA364" s="147"/>
      <c r="AB364" s="147"/>
    </row>
    <row r="365" spans="1:28">
      <c r="A365" s="137"/>
      <c r="B365" s="135"/>
      <c r="C365" s="136"/>
      <c r="D365" s="137"/>
      <c r="E365" s="138"/>
      <c r="F365" s="139"/>
      <c r="G365" s="137"/>
      <c r="H365" s="137"/>
      <c r="I365" s="140"/>
      <c r="J365" s="140"/>
      <c r="K365" s="140"/>
      <c r="L365" s="137"/>
      <c r="M365" s="141"/>
      <c r="N365" s="142"/>
      <c r="O365" s="141"/>
      <c r="P365" s="142"/>
      <c r="Q365" s="143"/>
      <c r="R365" s="143"/>
      <c r="S365" s="143"/>
      <c r="T365" s="144"/>
      <c r="U365" s="143"/>
      <c r="V365" s="143"/>
      <c r="W365" s="143"/>
      <c r="X365" s="143"/>
      <c r="Y365" s="145" t="e">
        <f>VLOOKUP(#REF!,#REF!,18,FALSE)</f>
        <v>#REF!</v>
      </c>
      <c r="Z365" s="146"/>
      <c r="AA365" s="147"/>
      <c r="AB365" s="147"/>
    </row>
    <row r="366" spans="1:28">
      <c r="A366" s="137"/>
      <c r="B366" s="135"/>
      <c r="C366" s="136"/>
      <c r="D366" s="137"/>
      <c r="E366" s="138"/>
      <c r="F366" s="139"/>
      <c r="G366" s="137"/>
      <c r="H366" s="137"/>
      <c r="I366" s="140"/>
      <c r="J366" s="140"/>
      <c r="K366" s="140"/>
      <c r="L366" s="137"/>
      <c r="M366" s="141"/>
      <c r="N366" s="142"/>
      <c r="O366" s="141"/>
      <c r="P366" s="142"/>
      <c r="Q366" s="143"/>
      <c r="R366" s="143"/>
      <c r="S366" s="143"/>
      <c r="T366" s="144"/>
      <c r="U366" s="143"/>
      <c r="V366" s="143"/>
      <c r="W366" s="143"/>
      <c r="X366" s="143"/>
      <c r="Y366" s="145" t="e">
        <f>VLOOKUP(#REF!,#REF!,18,FALSE)</f>
        <v>#REF!</v>
      </c>
      <c r="Z366" s="146"/>
      <c r="AA366" s="147"/>
      <c r="AB366" s="147"/>
    </row>
    <row r="367" spans="1:28">
      <c r="A367" s="137"/>
      <c r="B367" s="135"/>
      <c r="C367" s="136"/>
      <c r="D367" s="137"/>
      <c r="E367" s="138"/>
      <c r="F367" s="139"/>
      <c r="G367" s="137"/>
      <c r="H367" s="137"/>
      <c r="I367" s="140"/>
      <c r="J367" s="140"/>
      <c r="K367" s="140"/>
      <c r="L367" s="137"/>
      <c r="M367" s="141"/>
      <c r="N367" s="142"/>
      <c r="O367" s="141"/>
      <c r="P367" s="142"/>
      <c r="Q367" s="143"/>
      <c r="R367" s="143"/>
      <c r="S367" s="143"/>
      <c r="T367" s="144"/>
      <c r="U367" s="143"/>
      <c r="V367" s="143"/>
      <c r="W367" s="143"/>
      <c r="X367" s="143"/>
      <c r="Y367" s="145" t="e">
        <f>VLOOKUP(#REF!,#REF!,18,FALSE)</f>
        <v>#REF!</v>
      </c>
      <c r="Z367" s="146"/>
      <c r="AA367" s="147"/>
      <c r="AB367" s="147"/>
    </row>
    <row r="368" spans="1:28">
      <c r="A368" s="137"/>
      <c r="B368" s="135"/>
      <c r="C368" s="136"/>
      <c r="D368" s="137"/>
      <c r="E368" s="138"/>
      <c r="F368" s="139"/>
      <c r="G368" s="137"/>
      <c r="H368" s="137"/>
      <c r="I368" s="140"/>
      <c r="J368" s="140"/>
      <c r="K368" s="140"/>
      <c r="L368" s="137"/>
      <c r="M368" s="141"/>
      <c r="N368" s="142"/>
      <c r="O368" s="141"/>
      <c r="P368" s="142"/>
      <c r="Q368" s="143"/>
      <c r="R368" s="143"/>
      <c r="S368" s="143"/>
      <c r="T368" s="144"/>
      <c r="U368" s="143"/>
      <c r="V368" s="143"/>
      <c r="W368" s="143"/>
      <c r="X368" s="143"/>
      <c r="Y368" s="145" t="e">
        <f>VLOOKUP(#REF!,#REF!,18,FALSE)</f>
        <v>#REF!</v>
      </c>
      <c r="Z368" s="146"/>
      <c r="AA368" s="147"/>
      <c r="AB368" s="147"/>
    </row>
    <row r="369" spans="1:28">
      <c r="A369" s="137"/>
      <c r="B369" s="135"/>
      <c r="C369" s="136"/>
      <c r="D369" s="137"/>
      <c r="E369" s="138"/>
      <c r="F369" s="139"/>
      <c r="G369" s="137"/>
      <c r="H369" s="137"/>
      <c r="I369" s="140"/>
      <c r="J369" s="140"/>
      <c r="K369" s="140"/>
      <c r="L369" s="137"/>
      <c r="M369" s="141"/>
      <c r="N369" s="142"/>
      <c r="O369" s="141"/>
      <c r="P369" s="142"/>
      <c r="Q369" s="143"/>
      <c r="R369" s="143"/>
      <c r="S369" s="143"/>
      <c r="T369" s="144"/>
      <c r="U369" s="143"/>
      <c r="V369" s="143"/>
      <c r="W369" s="143"/>
      <c r="X369" s="143"/>
      <c r="Y369" s="145" t="e">
        <f>VLOOKUP(#REF!,#REF!,18,FALSE)</f>
        <v>#REF!</v>
      </c>
      <c r="Z369" s="146"/>
      <c r="AA369" s="147"/>
      <c r="AB369" s="147"/>
    </row>
    <row r="370" spans="1:28">
      <c r="A370" s="137"/>
      <c r="B370" s="135"/>
      <c r="C370" s="136"/>
      <c r="D370" s="137"/>
      <c r="E370" s="138"/>
      <c r="F370" s="139"/>
      <c r="G370" s="137"/>
      <c r="H370" s="137"/>
      <c r="I370" s="140"/>
      <c r="J370" s="140"/>
      <c r="K370" s="140"/>
      <c r="L370" s="137"/>
      <c r="M370" s="141"/>
      <c r="N370" s="142"/>
      <c r="O370" s="141"/>
      <c r="P370" s="142"/>
      <c r="Q370" s="143"/>
      <c r="R370" s="143"/>
      <c r="S370" s="143"/>
      <c r="T370" s="144"/>
      <c r="U370" s="143"/>
      <c r="V370" s="143"/>
      <c r="W370" s="143"/>
      <c r="X370" s="143"/>
      <c r="Y370" s="145" t="e">
        <f>VLOOKUP(#REF!,#REF!,18,FALSE)</f>
        <v>#REF!</v>
      </c>
      <c r="Z370" s="146"/>
      <c r="AA370" s="147"/>
      <c r="AB370" s="147"/>
    </row>
    <row r="371" spans="1:28">
      <c r="A371" s="137"/>
      <c r="B371" s="135"/>
      <c r="C371" s="136"/>
      <c r="D371" s="137"/>
      <c r="E371" s="138"/>
      <c r="F371" s="139"/>
      <c r="G371" s="137"/>
      <c r="H371" s="137"/>
      <c r="I371" s="140"/>
      <c r="J371" s="140"/>
      <c r="K371" s="140"/>
      <c r="L371" s="137"/>
      <c r="M371" s="141"/>
      <c r="N371" s="142"/>
      <c r="O371" s="141"/>
      <c r="P371" s="142"/>
      <c r="Q371" s="143"/>
      <c r="R371" s="143"/>
      <c r="S371" s="143"/>
      <c r="T371" s="144"/>
      <c r="U371" s="143"/>
      <c r="V371" s="143"/>
      <c r="W371" s="143"/>
      <c r="X371" s="143"/>
      <c r="Y371" s="145" t="e">
        <f>VLOOKUP(#REF!,#REF!,18,FALSE)</f>
        <v>#REF!</v>
      </c>
      <c r="Z371" s="146"/>
      <c r="AA371" s="147"/>
      <c r="AB371" s="147"/>
    </row>
    <row r="372" spans="1:28">
      <c r="A372" s="137"/>
      <c r="B372" s="135"/>
      <c r="C372" s="136"/>
      <c r="D372" s="137"/>
      <c r="E372" s="138"/>
      <c r="F372" s="139"/>
      <c r="G372" s="137"/>
      <c r="H372" s="137"/>
      <c r="I372" s="140"/>
      <c r="J372" s="140"/>
      <c r="K372" s="140"/>
      <c r="L372" s="137"/>
      <c r="M372" s="141"/>
      <c r="N372" s="142"/>
      <c r="O372" s="141"/>
      <c r="P372" s="142"/>
      <c r="Q372" s="143"/>
      <c r="R372" s="143"/>
      <c r="S372" s="143"/>
      <c r="T372" s="144"/>
      <c r="U372" s="143"/>
      <c r="V372" s="143"/>
      <c r="W372" s="143"/>
      <c r="X372" s="143"/>
      <c r="Y372" s="145" t="e">
        <f>VLOOKUP(#REF!,#REF!,18,FALSE)</f>
        <v>#REF!</v>
      </c>
      <c r="Z372" s="146"/>
      <c r="AA372" s="147"/>
      <c r="AB372" s="147"/>
    </row>
    <row r="373" spans="1:28">
      <c r="A373" s="137"/>
      <c r="B373" s="135"/>
      <c r="C373" s="136"/>
      <c r="D373" s="137"/>
      <c r="E373" s="138"/>
      <c r="F373" s="139"/>
      <c r="G373" s="137"/>
      <c r="H373" s="137"/>
      <c r="I373" s="140"/>
      <c r="J373" s="140"/>
      <c r="K373" s="140"/>
      <c r="L373" s="137"/>
      <c r="M373" s="141"/>
      <c r="N373" s="142"/>
      <c r="O373" s="141"/>
      <c r="P373" s="142"/>
      <c r="Q373" s="143"/>
      <c r="R373" s="143"/>
      <c r="S373" s="143"/>
      <c r="T373" s="144"/>
      <c r="U373" s="143"/>
      <c r="V373" s="143"/>
      <c r="W373" s="143"/>
      <c r="X373" s="143"/>
      <c r="Y373" s="145" t="e">
        <f>VLOOKUP(#REF!,#REF!,18,FALSE)</f>
        <v>#REF!</v>
      </c>
      <c r="Z373" s="146"/>
      <c r="AA373" s="147"/>
      <c r="AB373" s="147"/>
    </row>
    <row r="374" spans="1:28">
      <c r="A374" s="137"/>
      <c r="B374" s="135"/>
      <c r="C374" s="136"/>
      <c r="D374" s="137"/>
      <c r="E374" s="138"/>
      <c r="F374" s="139"/>
      <c r="G374" s="137"/>
      <c r="H374" s="137"/>
      <c r="I374" s="140"/>
      <c r="J374" s="140"/>
      <c r="K374" s="140"/>
      <c r="L374" s="137"/>
      <c r="M374" s="141"/>
      <c r="N374" s="142"/>
      <c r="O374" s="141"/>
      <c r="P374" s="142"/>
      <c r="Q374" s="143"/>
      <c r="R374" s="143"/>
      <c r="S374" s="143"/>
      <c r="T374" s="144"/>
      <c r="U374" s="143"/>
      <c r="V374" s="143"/>
      <c r="W374" s="143"/>
      <c r="X374" s="143"/>
      <c r="Y374" s="145" t="e">
        <f>VLOOKUP(#REF!,#REF!,18,FALSE)</f>
        <v>#REF!</v>
      </c>
      <c r="Z374" s="146"/>
      <c r="AA374" s="147"/>
      <c r="AB374" s="147"/>
    </row>
    <row r="375" spans="1:28">
      <c r="A375" s="137"/>
      <c r="B375" s="135"/>
      <c r="C375" s="136"/>
      <c r="D375" s="137"/>
      <c r="E375" s="138"/>
      <c r="F375" s="139"/>
      <c r="G375" s="137"/>
      <c r="H375" s="137"/>
      <c r="I375" s="140"/>
      <c r="J375" s="140"/>
      <c r="K375" s="140"/>
      <c r="L375" s="137"/>
      <c r="M375" s="141"/>
      <c r="N375" s="142"/>
      <c r="O375" s="141"/>
      <c r="P375" s="142"/>
      <c r="Q375" s="143"/>
      <c r="R375" s="143"/>
      <c r="S375" s="143"/>
      <c r="T375" s="144"/>
      <c r="U375" s="143"/>
      <c r="V375" s="143"/>
      <c r="W375" s="143"/>
      <c r="X375" s="143"/>
      <c r="Y375" s="145" t="e">
        <f>VLOOKUP(#REF!,#REF!,18,FALSE)</f>
        <v>#REF!</v>
      </c>
      <c r="Z375" s="146"/>
      <c r="AA375" s="147"/>
      <c r="AB375" s="147"/>
    </row>
    <row r="376" spans="1:28">
      <c r="A376" s="137"/>
      <c r="B376" s="135"/>
      <c r="C376" s="136"/>
      <c r="D376" s="137"/>
      <c r="E376" s="138"/>
      <c r="F376" s="139"/>
      <c r="G376" s="137"/>
      <c r="H376" s="137"/>
      <c r="I376" s="140"/>
      <c r="J376" s="140"/>
      <c r="K376" s="140"/>
      <c r="L376" s="137"/>
      <c r="M376" s="141"/>
      <c r="N376" s="142"/>
      <c r="O376" s="141"/>
      <c r="P376" s="142"/>
      <c r="Q376" s="143"/>
      <c r="R376" s="143"/>
      <c r="S376" s="143"/>
      <c r="T376" s="144"/>
      <c r="U376" s="143"/>
      <c r="V376" s="143"/>
      <c r="W376" s="143"/>
      <c r="X376" s="143"/>
      <c r="Y376" s="145" t="e">
        <f>VLOOKUP(#REF!,#REF!,18,FALSE)</f>
        <v>#REF!</v>
      </c>
      <c r="Z376" s="146"/>
      <c r="AA376" s="147"/>
      <c r="AB376" s="147"/>
    </row>
    <row r="377" spans="1:28">
      <c r="A377" s="137"/>
      <c r="B377" s="135"/>
      <c r="C377" s="136"/>
      <c r="D377" s="137"/>
      <c r="E377" s="138"/>
      <c r="F377" s="139"/>
      <c r="G377" s="137"/>
      <c r="H377" s="137"/>
      <c r="I377" s="140"/>
      <c r="J377" s="140"/>
      <c r="K377" s="140"/>
      <c r="L377" s="137"/>
      <c r="M377" s="141"/>
      <c r="N377" s="142"/>
      <c r="O377" s="141"/>
      <c r="P377" s="142"/>
      <c r="Q377" s="143"/>
      <c r="R377" s="143"/>
      <c r="S377" s="143"/>
      <c r="T377" s="144"/>
      <c r="U377" s="143"/>
      <c r="V377" s="143"/>
      <c r="W377" s="143"/>
      <c r="X377" s="143"/>
      <c r="Y377" s="145" t="e">
        <f>VLOOKUP(#REF!,#REF!,18,FALSE)</f>
        <v>#REF!</v>
      </c>
      <c r="Z377" s="146"/>
      <c r="AA377" s="147"/>
      <c r="AB377" s="147"/>
    </row>
    <row r="378" spans="1:28">
      <c r="A378" s="137"/>
      <c r="B378" s="135"/>
      <c r="C378" s="136"/>
      <c r="D378" s="137"/>
      <c r="E378" s="138"/>
      <c r="F378" s="139"/>
      <c r="G378" s="137"/>
      <c r="H378" s="137"/>
      <c r="I378" s="140"/>
      <c r="J378" s="140"/>
      <c r="K378" s="140"/>
      <c r="L378" s="137"/>
      <c r="M378" s="141"/>
      <c r="N378" s="142"/>
      <c r="O378" s="141"/>
      <c r="P378" s="142"/>
      <c r="Q378" s="143"/>
      <c r="R378" s="143"/>
      <c r="S378" s="143"/>
      <c r="T378" s="144"/>
      <c r="U378" s="143"/>
      <c r="V378" s="143"/>
      <c r="W378" s="143"/>
      <c r="X378" s="143"/>
      <c r="Y378" s="145" t="e">
        <f>VLOOKUP(#REF!,#REF!,18,FALSE)</f>
        <v>#REF!</v>
      </c>
      <c r="Z378" s="146"/>
      <c r="AA378" s="147"/>
      <c r="AB378" s="147"/>
    </row>
    <row r="379" spans="1:28">
      <c r="A379" s="137"/>
      <c r="B379" s="135"/>
      <c r="C379" s="136"/>
      <c r="D379" s="137"/>
      <c r="E379" s="138"/>
      <c r="F379" s="139"/>
      <c r="G379" s="137"/>
      <c r="H379" s="137"/>
      <c r="I379" s="140"/>
      <c r="J379" s="140"/>
      <c r="K379" s="140"/>
      <c r="L379" s="137"/>
      <c r="M379" s="141"/>
      <c r="N379" s="142"/>
      <c r="O379" s="141"/>
      <c r="P379" s="142"/>
      <c r="Q379" s="143"/>
      <c r="R379" s="143"/>
      <c r="S379" s="143"/>
      <c r="T379" s="144"/>
      <c r="U379" s="143"/>
      <c r="V379" s="143"/>
      <c r="W379" s="143"/>
      <c r="X379" s="143"/>
      <c r="Y379" s="145" t="e">
        <f>VLOOKUP(#REF!,#REF!,18,FALSE)</f>
        <v>#REF!</v>
      </c>
      <c r="Z379" s="146"/>
      <c r="AA379" s="147"/>
      <c r="AB379" s="147"/>
    </row>
    <row r="380" spans="1:28">
      <c r="A380" s="137"/>
      <c r="B380" s="135"/>
      <c r="C380" s="136"/>
      <c r="D380" s="137"/>
      <c r="E380" s="138"/>
      <c r="F380" s="139"/>
      <c r="G380" s="137"/>
      <c r="H380" s="137"/>
      <c r="I380" s="140"/>
      <c r="J380" s="140"/>
      <c r="K380" s="140"/>
      <c r="L380" s="137"/>
      <c r="M380" s="141"/>
      <c r="N380" s="142"/>
      <c r="O380" s="141"/>
      <c r="P380" s="142"/>
      <c r="Q380" s="143"/>
      <c r="R380" s="143"/>
      <c r="S380" s="143"/>
      <c r="T380" s="144"/>
      <c r="U380" s="143"/>
      <c r="V380" s="143"/>
      <c r="W380" s="143"/>
      <c r="X380" s="143"/>
      <c r="Y380" s="145" t="e">
        <f>VLOOKUP(#REF!,#REF!,18,FALSE)</f>
        <v>#REF!</v>
      </c>
      <c r="Z380" s="146"/>
      <c r="AA380" s="147"/>
      <c r="AB380" s="147"/>
    </row>
    <row r="381" spans="1:28">
      <c r="A381" s="137"/>
      <c r="B381" s="135"/>
      <c r="C381" s="136"/>
      <c r="D381" s="137"/>
      <c r="E381" s="138"/>
      <c r="F381" s="139"/>
      <c r="G381" s="137"/>
      <c r="H381" s="137"/>
      <c r="I381" s="140"/>
      <c r="J381" s="140"/>
      <c r="K381" s="140"/>
      <c r="L381" s="137"/>
      <c r="M381" s="141"/>
      <c r="N381" s="142"/>
      <c r="O381" s="141"/>
      <c r="P381" s="142"/>
      <c r="Q381" s="143"/>
      <c r="R381" s="143"/>
      <c r="S381" s="143"/>
      <c r="T381" s="144"/>
      <c r="U381" s="143"/>
      <c r="V381" s="143"/>
      <c r="W381" s="143"/>
      <c r="X381" s="143"/>
      <c r="Y381" s="145" t="e">
        <f>VLOOKUP(#REF!,#REF!,18,FALSE)</f>
        <v>#REF!</v>
      </c>
      <c r="Z381" s="146"/>
      <c r="AA381" s="147"/>
      <c r="AB381" s="147"/>
    </row>
    <row r="382" spans="1:28">
      <c r="A382" s="137"/>
      <c r="B382" s="135"/>
      <c r="C382" s="136"/>
      <c r="D382" s="137"/>
      <c r="E382" s="138"/>
      <c r="F382" s="139"/>
      <c r="G382" s="137"/>
      <c r="H382" s="137"/>
      <c r="I382" s="140"/>
      <c r="J382" s="140"/>
      <c r="K382" s="140"/>
      <c r="L382" s="137"/>
      <c r="M382" s="141"/>
      <c r="N382" s="142"/>
      <c r="O382" s="141"/>
      <c r="P382" s="142"/>
      <c r="Q382" s="143"/>
      <c r="R382" s="143"/>
      <c r="S382" s="143"/>
      <c r="T382" s="144"/>
      <c r="U382" s="143"/>
      <c r="V382" s="143"/>
      <c r="W382" s="143"/>
      <c r="X382" s="143"/>
      <c r="Y382" s="145" t="e">
        <f>VLOOKUP(#REF!,#REF!,18,FALSE)</f>
        <v>#REF!</v>
      </c>
      <c r="Z382" s="146"/>
      <c r="AA382" s="147"/>
      <c r="AB382" s="147"/>
    </row>
    <row r="383" spans="1:28">
      <c r="A383" s="137"/>
      <c r="B383" s="135"/>
      <c r="C383" s="136"/>
      <c r="D383" s="137"/>
      <c r="E383" s="138"/>
      <c r="F383" s="139"/>
      <c r="G383" s="137"/>
      <c r="H383" s="137"/>
      <c r="I383" s="140"/>
      <c r="J383" s="140"/>
      <c r="K383" s="140"/>
      <c r="L383" s="137"/>
      <c r="M383" s="141"/>
      <c r="N383" s="142"/>
      <c r="O383" s="141"/>
      <c r="P383" s="142"/>
      <c r="Q383" s="143"/>
      <c r="R383" s="143"/>
      <c r="S383" s="143"/>
      <c r="T383" s="144"/>
      <c r="U383" s="143"/>
      <c r="V383" s="143"/>
      <c r="W383" s="143"/>
      <c r="X383" s="143"/>
      <c r="Y383" s="145" t="e">
        <f>VLOOKUP(#REF!,#REF!,18,FALSE)</f>
        <v>#REF!</v>
      </c>
      <c r="Z383" s="146"/>
      <c r="AA383" s="147"/>
      <c r="AB383" s="147"/>
    </row>
    <row r="384" spans="1:28">
      <c r="A384" s="137"/>
      <c r="B384" s="135"/>
      <c r="C384" s="136"/>
      <c r="D384" s="137"/>
      <c r="E384" s="138"/>
      <c r="F384" s="139"/>
      <c r="G384" s="137"/>
      <c r="H384" s="137"/>
      <c r="I384" s="140"/>
      <c r="J384" s="140"/>
      <c r="K384" s="140"/>
      <c r="L384" s="137"/>
      <c r="M384" s="141"/>
      <c r="N384" s="142"/>
      <c r="O384" s="141"/>
      <c r="P384" s="142"/>
      <c r="Q384" s="143"/>
      <c r="R384" s="143"/>
      <c r="S384" s="143"/>
      <c r="T384" s="144"/>
      <c r="U384" s="143"/>
      <c r="V384" s="143"/>
      <c r="W384" s="143"/>
      <c r="X384" s="143"/>
      <c r="Y384" s="145" t="e">
        <f>VLOOKUP(#REF!,#REF!,18,FALSE)</f>
        <v>#REF!</v>
      </c>
      <c r="Z384" s="146"/>
      <c r="AA384" s="147"/>
      <c r="AB384" s="147"/>
    </row>
    <row r="385" spans="1:28">
      <c r="A385" s="137"/>
      <c r="B385" s="135"/>
      <c r="C385" s="136"/>
      <c r="D385" s="137"/>
      <c r="E385" s="138"/>
      <c r="F385" s="139"/>
      <c r="G385" s="137"/>
      <c r="H385" s="137"/>
      <c r="I385" s="140"/>
      <c r="J385" s="140"/>
      <c r="K385" s="140"/>
      <c r="L385" s="137"/>
      <c r="M385" s="141"/>
      <c r="N385" s="142"/>
      <c r="O385" s="141"/>
      <c r="P385" s="142"/>
      <c r="Q385" s="143"/>
      <c r="R385" s="143"/>
      <c r="S385" s="143"/>
      <c r="T385" s="144"/>
      <c r="U385" s="143"/>
      <c r="V385" s="143"/>
      <c r="W385" s="143"/>
      <c r="X385" s="143"/>
      <c r="Y385" s="145" t="e">
        <f>VLOOKUP(#REF!,#REF!,18,FALSE)</f>
        <v>#REF!</v>
      </c>
      <c r="Z385" s="146"/>
      <c r="AA385" s="147"/>
      <c r="AB385" s="147"/>
    </row>
    <row r="386" spans="1:28">
      <c r="A386" s="137"/>
      <c r="B386" s="135"/>
      <c r="C386" s="136"/>
      <c r="D386" s="137"/>
      <c r="E386" s="138"/>
      <c r="F386" s="139"/>
      <c r="G386" s="137"/>
      <c r="H386" s="137"/>
      <c r="I386" s="140"/>
      <c r="J386" s="140"/>
      <c r="K386" s="140"/>
      <c r="L386" s="137"/>
      <c r="M386" s="141"/>
      <c r="N386" s="142"/>
      <c r="O386" s="141"/>
      <c r="P386" s="142"/>
      <c r="Q386" s="143"/>
      <c r="R386" s="143"/>
      <c r="S386" s="143"/>
      <c r="T386" s="144"/>
      <c r="U386" s="143"/>
      <c r="V386" s="143"/>
      <c r="W386" s="143"/>
      <c r="X386" s="143"/>
      <c r="Y386" s="145" t="e">
        <f>VLOOKUP(#REF!,#REF!,18,FALSE)</f>
        <v>#REF!</v>
      </c>
      <c r="Z386" s="146"/>
      <c r="AA386" s="147"/>
      <c r="AB386" s="147"/>
    </row>
    <row r="387" spans="1:28">
      <c r="A387" s="137"/>
      <c r="B387" s="135"/>
      <c r="C387" s="136"/>
      <c r="D387" s="137"/>
      <c r="E387" s="138"/>
      <c r="F387" s="139"/>
      <c r="G387" s="137"/>
      <c r="H387" s="137"/>
      <c r="I387" s="140"/>
      <c r="J387" s="140"/>
      <c r="K387" s="140"/>
      <c r="L387" s="137"/>
      <c r="M387" s="141"/>
      <c r="N387" s="142"/>
      <c r="O387" s="141"/>
      <c r="P387" s="142"/>
      <c r="Q387" s="143"/>
      <c r="R387" s="143"/>
      <c r="S387" s="143"/>
      <c r="T387" s="144"/>
      <c r="U387" s="143"/>
      <c r="V387" s="143"/>
      <c r="W387" s="143"/>
      <c r="X387" s="143"/>
      <c r="Y387" s="145" t="e">
        <f>VLOOKUP(#REF!,#REF!,18,FALSE)</f>
        <v>#REF!</v>
      </c>
      <c r="Z387" s="146"/>
      <c r="AA387" s="147"/>
      <c r="AB387" s="147"/>
    </row>
    <row r="388" spans="1:28">
      <c r="A388" s="137"/>
      <c r="B388" s="135"/>
      <c r="C388" s="136"/>
      <c r="D388" s="137"/>
      <c r="E388" s="138"/>
      <c r="F388" s="139"/>
      <c r="G388" s="137"/>
      <c r="H388" s="137"/>
      <c r="I388" s="140"/>
      <c r="J388" s="140"/>
      <c r="K388" s="140"/>
      <c r="L388" s="137"/>
      <c r="M388" s="141"/>
      <c r="N388" s="142"/>
      <c r="O388" s="141"/>
      <c r="P388" s="142"/>
      <c r="Q388" s="143"/>
      <c r="R388" s="143"/>
      <c r="S388" s="143"/>
      <c r="T388" s="144"/>
      <c r="U388" s="143"/>
      <c r="V388" s="143"/>
      <c r="W388" s="143"/>
      <c r="X388" s="143"/>
      <c r="Y388" s="145" t="e">
        <f>VLOOKUP(#REF!,#REF!,18,FALSE)</f>
        <v>#REF!</v>
      </c>
      <c r="Z388" s="146"/>
      <c r="AA388" s="147"/>
      <c r="AB388" s="147"/>
    </row>
    <row r="389" spans="1:28">
      <c r="A389" s="137"/>
      <c r="B389" s="135"/>
      <c r="C389" s="136"/>
      <c r="D389" s="137"/>
      <c r="E389" s="138"/>
      <c r="F389" s="139"/>
      <c r="G389" s="137"/>
      <c r="H389" s="137"/>
      <c r="I389" s="140"/>
      <c r="J389" s="140"/>
      <c r="K389" s="140"/>
      <c r="L389" s="137"/>
      <c r="M389" s="141"/>
      <c r="N389" s="142"/>
      <c r="O389" s="141"/>
      <c r="P389" s="142"/>
      <c r="Q389" s="143"/>
      <c r="R389" s="143"/>
      <c r="S389" s="143"/>
      <c r="T389" s="144"/>
      <c r="U389" s="143"/>
      <c r="V389" s="143"/>
      <c r="W389" s="143"/>
      <c r="X389" s="143"/>
      <c r="Y389" s="145" t="e">
        <f>VLOOKUP(#REF!,#REF!,18,FALSE)</f>
        <v>#REF!</v>
      </c>
      <c r="Z389" s="146"/>
      <c r="AA389" s="147"/>
      <c r="AB389" s="147"/>
    </row>
    <row r="390" spans="1:28">
      <c r="A390" s="137"/>
      <c r="B390" s="135"/>
      <c r="C390" s="136"/>
      <c r="D390" s="137"/>
      <c r="E390" s="138"/>
      <c r="F390" s="139"/>
      <c r="G390" s="137"/>
      <c r="H390" s="137"/>
      <c r="I390" s="140"/>
      <c r="J390" s="140"/>
      <c r="K390" s="140"/>
      <c r="L390" s="137"/>
      <c r="M390" s="141"/>
      <c r="N390" s="142"/>
      <c r="O390" s="141"/>
      <c r="P390" s="142"/>
      <c r="Q390" s="143"/>
      <c r="R390" s="143"/>
      <c r="S390" s="143"/>
      <c r="T390" s="144"/>
      <c r="U390" s="143"/>
      <c r="V390" s="143"/>
      <c r="W390" s="143"/>
      <c r="X390" s="143"/>
      <c r="Y390" s="145" t="e">
        <f>VLOOKUP(#REF!,#REF!,18,FALSE)</f>
        <v>#REF!</v>
      </c>
      <c r="Z390" s="146"/>
      <c r="AA390" s="147"/>
      <c r="AB390" s="147"/>
    </row>
    <row r="391" spans="1:28">
      <c r="A391" s="137"/>
      <c r="B391" s="135"/>
      <c r="C391" s="136"/>
      <c r="D391" s="137"/>
      <c r="E391" s="138"/>
      <c r="F391" s="139"/>
      <c r="G391" s="137"/>
      <c r="H391" s="137"/>
      <c r="I391" s="140"/>
      <c r="J391" s="140"/>
      <c r="K391" s="140"/>
      <c r="L391" s="137"/>
      <c r="M391" s="141"/>
      <c r="N391" s="142"/>
      <c r="O391" s="141"/>
      <c r="P391" s="142"/>
      <c r="Q391" s="143"/>
      <c r="R391" s="143"/>
      <c r="S391" s="143"/>
      <c r="T391" s="144"/>
      <c r="U391" s="143"/>
      <c r="V391" s="143"/>
      <c r="W391" s="143"/>
      <c r="X391" s="143"/>
      <c r="Y391" s="145" t="e">
        <f>VLOOKUP(#REF!,#REF!,18,FALSE)</f>
        <v>#REF!</v>
      </c>
      <c r="Z391" s="146"/>
      <c r="AA391" s="147"/>
      <c r="AB391" s="147"/>
    </row>
    <row r="392" spans="1:28">
      <c r="A392" s="137"/>
      <c r="B392" s="135"/>
      <c r="C392" s="136"/>
      <c r="D392" s="137"/>
      <c r="E392" s="138"/>
      <c r="F392" s="139"/>
      <c r="G392" s="137"/>
      <c r="H392" s="137"/>
      <c r="I392" s="140"/>
      <c r="J392" s="140"/>
      <c r="K392" s="140"/>
      <c r="L392" s="137"/>
      <c r="M392" s="141"/>
      <c r="N392" s="142"/>
      <c r="O392" s="141"/>
      <c r="P392" s="142"/>
      <c r="Q392" s="143"/>
      <c r="R392" s="143"/>
      <c r="S392" s="143"/>
      <c r="T392" s="144"/>
      <c r="U392" s="143"/>
      <c r="V392" s="143"/>
      <c r="W392" s="143"/>
      <c r="X392" s="143"/>
      <c r="Y392" s="145" t="e">
        <f>VLOOKUP(#REF!,#REF!,18,FALSE)</f>
        <v>#REF!</v>
      </c>
      <c r="Z392" s="146"/>
      <c r="AA392" s="147"/>
      <c r="AB392" s="147"/>
    </row>
    <row r="393" spans="1:28">
      <c r="A393" s="137"/>
      <c r="B393" s="135"/>
      <c r="C393" s="136"/>
      <c r="D393" s="137"/>
      <c r="E393" s="138"/>
      <c r="F393" s="139"/>
      <c r="G393" s="137"/>
      <c r="H393" s="137"/>
      <c r="I393" s="140"/>
      <c r="J393" s="140"/>
      <c r="K393" s="140"/>
      <c r="L393" s="137"/>
      <c r="M393" s="141"/>
      <c r="N393" s="142"/>
      <c r="O393" s="141"/>
      <c r="P393" s="142"/>
      <c r="Q393" s="143"/>
      <c r="R393" s="143"/>
      <c r="S393" s="143"/>
      <c r="T393" s="144"/>
      <c r="U393" s="143"/>
      <c r="V393" s="143"/>
      <c r="W393" s="143"/>
      <c r="X393" s="143"/>
      <c r="Y393" s="145" t="e">
        <f>VLOOKUP(#REF!,#REF!,18,FALSE)</f>
        <v>#REF!</v>
      </c>
      <c r="Z393" s="146"/>
      <c r="AA393" s="147"/>
      <c r="AB393" s="147"/>
    </row>
    <row r="394" spans="1:28">
      <c r="A394" s="137"/>
      <c r="B394" s="135"/>
      <c r="C394" s="136"/>
      <c r="D394" s="137"/>
      <c r="E394" s="138"/>
      <c r="F394" s="139"/>
      <c r="G394" s="137"/>
      <c r="H394" s="137"/>
      <c r="I394" s="140"/>
      <c r="J394" s="140"/>
      <c r="K394" s="140"/>
      <c r="L394" s="137"/>
      <c r="M394" s="141"/>
      <c r="N394" s="142"/>
      <c r="O394" s="141"/>
      <c r="P394" s="142"/>
      <c r="Q394" s="143"/>
      <c r="R394" s="143"/>
      <c r="S394" s="143"/>
      <c r="T394" s="144"/>
      <c r="U394" s="143"/>
      <c r="V394" s="143"/>
      <c r="W394" s="143"/>
      <c r="X394" s="143"/>
      <c r="Y394" s="145" t="e">
        <f>VLOOKUP(#REF!,#REF!,18,FALSE)</f>
        <v>#REF!</v>
      </c>
      <c r="Z394" s="146"/>
      <c r="AA394" s="147"/>
      <c r="AB394" s="147"/>
    </row>
    <row r="395" spans="1:28">
      <c r="A395" s="137"/>
      <c r="B395" s="135"/>
      <c r="C395" s="136"/>
      <c r="D395" s="137"/>
      <c r="E395" s="138"/>
      <c r="F395" s="139"/>
      <c r="G395" s="137"/>
      <c r="H395" s="137"/>
      <c r="I395" s="140"/>
      <c r="J395" s="140"/>
      <c r="K395" s="140"/>
      <c r="L395" s="137"/>
      <c r="M395" s="141"/>
      <c r="N395" s="142"/>
      <c r="O395" s="141"/>
      <c r="P395" s="142"/>
      <c r="Q395" s="143"/>
      <c r="R395" s="143"/>
      <c r="S395" s="143"/>
      <c r="T395" s="144"/>
      <c r="U395" s="143"/>
      <c r="V395" s="143"/>
      <c r="W395" s="143"/>
      <c r="X395" s="143"/>
      <c r="Y395" s="145" t="e">
        <f>VLOOKUP(#REF!,#REF!,18,FALSE)</f>
        <v>#REF!</v>
      </c>
      <c r="Z395" s="146"/>
      <c r="AA395" s="147"/>
      <c r="AB395" s="147"/>
    </row>
    <row r="396" spans="1:28">
      <c r="A396" s="137"/>
      <c r="B396" s="135"/>
      <c r="C396" s="136"/>
      <c r="D396" s="137"/>
      <c r="E396" s="138"/>
      <c r="F396" s="139"/>
      <c r="G396" s="137"/>
      <c r="H396" s="137"/>
      <c r="I396" s="140"/>
      <c r="J396" s="140"/>
      <c r="K396" s="140"/>
      <c r="L396" s="137"/>
      <c r="M396" s="141"/>
      <c r="N396" s="142"/>
      <c r="O396" s="141"/>
      <c r="P396" s="142"/>
      <c r="Q396" s="143"/>
      <c r="R396" s="143"/>
      <c r="S396" s="143"/>
      <c r="T396" s="144"/>
      <c r="U396" s="143"/>
      <c r="V396" s="143"/>
      <c r="W396" s="143"/>
      <c r="X396" s="143"/>
      <c r="Y396" s="145" t="e">
        <f>VLOOKUP(#REF!,#REF!,18,FALSE)</f>
        <v>#REF!</v>
      </c>
      <c r="Z396" s="146"/>
      <c r="AA396" s="147"/>
      <c r="AB396" s="147"/>
    </row>
    <row r="397" spans="1:28">
      <c r="A397" s="137"/>
      <c r="B397" s="135"/>
      <c r="C397" s="136"/>
      <c r="D397" s="137"/>
      <c r="E397" s="138"/>
      <c r="F397" s="139"/>
      <c r="G397" s="137"/>
      <c r="H397" s="137"/>
      <c r="I397" s="140"/>
      <c r="J397" s="140"/>
      <c r="K397" s="140"/>
      <c r="L397" s="137"/>
      <c r="M397" s="141"/>
      <c r="N397" s="142"/>
      <c r="O397" s="141"/>
      <c r="P397" s="142"/>
      <c r="Q397" s="143"/>
      <c r="R397" s="143"/>
      <c r="S397" s="143"/>
      <c r="T397" s="144"/>
      <c r="U397" s="143"/>
      <c r="V397" s="143"/>
      <c r="W397" s="143"/>
      <c r="X397" s="143"/>
      <c r="Y397" s="145" t="e">
        <f>VLOOKUP(#REF!,#REF!,18,FALSE)</f>
        <v>#REF!</v>
      </c>
      <c r="Z397" s="146"/>
      <c r="AA397" s="147"/>
      <c r="AB397" s="147"/>
    </row>
    <row r="398" spans="1:28">
      <c r="A398" s="137"/>
      <c r="B398" s="135"/>
      <c r="C398" s="136"/>
      <c r="D398" s="137"/>
      <c r="E398" s="138"/>
      <c r="F398" s="139"/>
      <c r="G398" s="137"/>
      <c r="H398" s="137"/>
      <c r="I398" s="140"/>
      <c r="J398" s="140"/>
      <c r="K398" s="140"/>
      <c r="L398" s="137"/>
      <c r="M398" s="141"/>
      <c r="N398" s="142"/>
      <c r="O398" s="141"/>
      <c r="P398" s="142"/>
      <c r="Q398" s="143"/>
      <c r="R398" s="143"/>
      <c r="S398" s="143"/>
      <c r="T398" s="144"/>
      <c r="U398" s="143"/>
      <c r="V398" s="143"/>
      <c r="W398" s="143"/>
      <c r="X398" s="143"/>
      <c r="Y398" s="145" t="e">
        <f>VLOOKUP(#REF!,#REF!,18,FALSE)</f>
        <v>#REF!</v>
      </c>
      <c r="Z398" s="146"/>
      <c r="AA398" s="147"/>
      <c r="AB398" s="147"/>
    </row>
    <row r="399" spans="1:28">
      <c r="A399" s="137"/>
      <c r="B399" s="135"/>
      <c r="C399" s="136"/>
      <c r="D399" s="137"/>
      <c r="E399" s="138"/>
      <c r="F399" s="139"/>
      <c r="G399" s="137"/>
      <c r="H399" s="137"/>
      <c r="I399" s="140"/>
      <c r="J399" s="140"/>
      <c r="K399" s="140"/>
      <c r="L399" s="137"/>
      <c r="M399" s="141"/>
      <c r="N399" s="142"/>
      <c r="O399" s="141"/>
      <c r="P399" s="142"/>
      <c r="Q399" s="143"/>
      <c r="R399" s="143"/>
      <c r="S399" s="143"/>
      <c r="T399" s="144"/>
      <c r="U399" s="143"/>
      <c r="V399" s="143"/>
      <c r="W399" s="143"/>
      <c r="X399" s="143"/>
      <c r="Y399" s="145" t="e">
        <f>VLOOKUP(#REF!,#REF!,18,FALSE)</f>
        <v>#REF!</v>
      </c>
      <c r="Z399" s="146"/>
      <c r="AA399" s="147"/>
      <c r="AB399" s="147"/>
    </row>
    <row r="400" spans="1:28">
      <c r="A400" s="137"/>
      <c r="B400" s="135"/>
      <c r="C400" s="136"/>
      <c r="D400" s="137"/>
      <c r="E400" s="138"/>
      <c r="F400" s="139"/>
      <c r="G400" s="137"/>
      <c r="H400" s="137"/>
      <c r="I400" s="140"/>
      <c r="J400" s="140"/>
      <c r="K400" s="140"/>
      <c r="L400" s="137"/>
      <c r="M400" s="141"/>
      <c r="N400" s="142"/>
      <c r="O400" s="141"/>
      <c r="P400" s="142"/>
      <c r="Q400" s="143"/>
      <c r="R400" s="143"/>
      <c r="S400" s="143"/>
      <c r="T400" s="144"/>
      <c r="U400" s="143"/>
      <c r="V400" s="143"/>
      <c r="W400" s="143"/>
      <c r="X400" s="143"/>
      <c r="Y400" s="145" t="e">
        <f>VLOOKUP(#REF!,#REF!,18,FALSE)</f>
        <v>#REF!</v>
      </c>
      <c r="Z400" s="146"/>
      <c r="AA400" s="147"/>
      <c r="AB400" s="147"/>
    </row>
    <row r="401" spans="1:28">
      <c r="A401" s="137"/>
      <c r="B401" s="135"/>
      <c r="C401" s="136"/>
      <c r="D401" s="137"/>
      <c r="E401" s="138"/>
      <c r="F401" s="139"/>
      <c r="G401" s="137"/>
      <c r="H401" s="137"/>
      <c r="I401" s="140"/>
      <c r="J401" s="140"/>
      <c r="K401" s="140"/>
      <c r="L401" s="137"/>
      <c r="M401" s="141"/>
      <c r="N401" s="142"/>
      <c r="O401" s="141"/>
      <c r="P401" s="142"/>
      <c r="Q401" s="143"/>
      <c r="R401" s="143"/>
      <c r="S401" s="143"/>
      <c r="T401" s="144"/>
      <c r="U401" s="143"/>
      <c r="V401" s="143"/>
      <c r="W401" s="143"/>
      <c r="X401" s="143"/>
      <c r="Y401" s="145" t="e">
        <f>VLOOKUP(#REF!,#REF!,18,FALSE)</f>
        <v>#REF!</v>
      </c>
      <c r="Z401" s="146"/>
      <c r="AA401" s="147"/>
      <c r="AB401" s="147"/>
    </row>
    <row r="402" spans="1:28">
      <c r="A402" s="137"/>
      <c r="B402" s="135"/>
      <c r="C402" s="136"/>
      <c r="D402" s="137"/>
      <c r="E402" s="138"/>
      <c r="F402" s="139"/>
      <c r="G402" s="137"/>
      <c r="H402" s="137"/>
      <c r="I402" s="140"/>
      <c r="J402" s="140"/>
      <c r="K402" s="140"/>
      <c r="L402" s="137"/>
      <c r="M402" s="141"/>
      <c r="N402" s="142"/>
      <c r="O402" s="141"/>
      <c r="P402" s="142"/>
      <c r="Q402" s="143"/>
      <c r="R402" s="143"/>
      <c r="S402" s="143"/>
      <c r="T402" s="144"/>
      <c r="U402" s="143"/>
      <c r="V402" s="143"/>
      <c r="W402" s="143"/>
      <c r="X402" s="143"/>
      <c r="Y402" s="145" t="e">
        <f>VLOOKUP(#REF!,#REF!,18,FALSE)</f>
        <v>#REF!</v>
      </c>
      <c r="Z402" s="146"/>
      <c r="AA402" s="147"/>
      <c r="AB402" s="147"/>
    </row>
    <row r="403" spans="1:28">
      <c r="A403" s="137"/>
      <c r="B403" s="135"/>
      <c r="C403" s="136"/>
      <c r="D403" s="137"/>
      <c r="E403" s="138"/>
      <c r="F403" s="139"/>
      <c r="G403" s="137"/>
      <c r="H403" s="137"/>
      <c r="I403" s="140"/>
      <c r="J403" s="140"/>
      <c r="K403" s="140"/>
      <c r="L403" s="137"/>
      <c r="M403" s="141"/>
      <c r="N403" s="142"/>
      <c r="O403" s="141"/>
      <c r="P403" s="142"/>
      <c r="Q403" s="143"/>
      <c r="R403" s="143"/>
      <c r="S403" s="143"/>
      <c r="T403" s="144"/>
      <c r="U403" s="143"/>
      <c r="V403" s="143"/>
      <c r="W403" s="143"/>
      <c r="X403" s="143"/>
      <c r="Y403" s="145" t="e">
        <f>VLOOKUP(#REF!,#REF!,18,FALSE)</f>
        <v>#REF!</v>
      </c>
      <c r="Z403" s="146"/>
      <c r="AA403" s="147"/>
      <c r="AB403" s="147"/>
    </row>
    <row r="404" spans="1:28">
      <c r="A404" s="137"/>
      <c r="B404" s="135"/>
      <c r="C404" s="136"/>
      <c r="D404" s="137"/>
      <c r="E404" s="138"/>
      <c r="F404" s="139"/>
      <c r="G404" s="137"/>
      <c r="H404" s="137"/>
      <c r="I404" s="140"/>
      <c r="J404" s="140"/>
      <c r="K404" s="140"/>
      <c r="L404" s="137"/>
      <c r="M404" s="141"/>
      <c r="N404" s="142"/>
      <c r="O404" s="141"/>
      <c r="P404" s="142"/>
      <c r="Q404" s="143"/>
      <c r="R404" s="143"/>
      <c r="S404" s="143"/>
      <c r="T404" s="144"/>
      <c r="U404" s="143"/>
      <c r="V404" s="143"/>
      <c r="W404" s="143"/>
      <c r="X404" s="143"/>
      <c r="Y404" s="145" t="e">
        <f>VLOOKUP(#REF!,#REF!,18,FALSE)</f>
        <v>#REF!</v>
      </c>
      <c r="Z404" s="146"/>
      <c r="AA404" s="147"/>
      <c r="AB404" s="147"/>
    </row>
    <row r="405" spans="1:28">
      <c r="A405" s="137"/>
      <c r="B405" s="135"/>
      <c r="C405" s="136"/>
      <c r="D405" s="137"/>
      <c r="E405" s="138"/>
      <c r="F405" s="139"/>
      <c r="G405" s="137"/>
      <c r="H405" s="137"/>
      <c r="I405" s="140"/>
      <c r="J405" s="140"/>
      <c r="K405" s="140"/>
      <c r="L405" s="137"/>
      <c r="M405" s="141"/>
      <c r="N405" s="142"/>
      <c r="O405" s="141"/>
      <c r="P405" s="142"/>
      <c r="Q405" s="143"/>
      <c r="R405" s="143"/>
      <c r="S405" s="143"/>
      <c r="T405" s="144"/>
      <c r="U405" s="143"/>
      <c r="V405" s="143"/>
      <c r="W405" s="143"/>
      <c r="X405" s="143"/>
      <c r="Y405" s="145" t="e">
        <f>VLOOKUP(#REF!,#REF!,18,FALSE)</f>
        <v>#REF!</v>
      </c>
      <c r="Z405" s="146"/>
      <c r="AA405" s="147"/>
      <c r="AB405" s="147"/>
    </row>
    <row r="406" spans="1:28">
      <c r="A406" s="137"/>
      <c r="B406" s="135"/>
      <c r="C406" s="136"/>
      <c r="D406" s="137"/>
      <c r="E406" s="138"/>
      <c r="F406" s="139"/>
      <c r="G406" s="137"/>
      <c r="H406" s="137"/>
      <c r="I406" s="140"/>
      <c r="J406" s="140"/>
      <c r="K406" s="140"/>
      <c r="L406" s="137"/>
      <c r="M406" s="141"/>
      <c r="N406" s="142"/>
      <c r="O406" s="141"/>
      <c r="P406" s="142"/>
      <c r="Q406" s="143"/>
      <c r="R406" s="143"/>
      <c r="S406" s="143"/>
      <c r="T406" s="144"/>
      <c r="U406" s="143"/>
      <c r="V406" s="143"/>
      <c r="W406" s="143"/>
      <c r="X406" s="143"/>
      <c r="Y406" s="145" t="e">
        <f>VLOOKUP(#REF!,#REF!,18,FALSE)</f>
        <v>#REF!</v>
      </c>
      <c r="Z406" s="146"/>
      <c r="AA406" s="147"/>
      <c r="AB406" s="147"/>
    </row>
    <row r="407" spans="1:28">
      <c r="A407" s="137"/>
      <c r="B407" s="135"/>
      <c r="C407" s="136"/>
      <c r="D407" s="137"/>
      <c r="E407" s="138"/>
      <c r="F407" s="139"/>
      <c r="G407" s="137"/>
      <c r="H407" s="137"/>
      <c r="I407" s="140"/>
      <c r="J407" s="140"/>
      <c r="K407" s="140"/>
      <c r="L407" s="137"/>
      <c r="M407" s="141"/>
      <c r="N407" s="142"/>
      <c r="O407" s="141"/>
      <c r="P407" s="142"/>
      <c r="Q407" s="143"/>
      <c r="R407" s="143"/>
      <c r="S407" s="143"/>
      <c r="T407" s="144"/>
      <c r="U407" s="143"/>
      <c r="V407" s="143"/>
      <c r="W407" s="143"/>
      <c r="X407" s="143"/>
      <c r="Y407" s="145" t="e">
        <f>VLOOKUP(#REF!,#REF!,18,FALSE)</f>
        <v>#REF!</v>
      </c>
      <c r="Z407" s="146"/>
      <c r="AA407" s="147"/>
      <c r="AB407" s="147"/>
    </row>
    <row r="408" spans="1:28">
      <c r="A408" s="137"/>
      <c r="B408" s="135"/>
      <c r="C408" s="136"/>
      <c r="D408" s="137"/>
      <c r="E408" s="138"/>
      <c r="F408" s="139"/>
      <c r="G408" s="137"/>
      <c r="H408" s="137"/>
      <c r="I408" s="140"/>
      <c r="J408" s="140"/>
      <c r="K408" s="140"/>
      <c r="L408" s="137"/>
      <c r="M408" s="141"/>
      <c r="N408" s="142"/>
      <c r="O408" s="141"/>
      <c r="P408" s="142"/>
      <c r="Q408" s="143"/>
      <c r="R408" s="143"/>
      <c r="S408" s="143"/>
      <c r="T408" s="144"/>
      <c r="U408" s="143"/>
      <c r="V408" s="143"/>
      <c r="W408" s="143"/>
      <c r="X408" s="143"/>
      <c r="Y408" s="145" t="e">
        <f>VLOOKUP(#REF!,#REF!,18,FALSE)</f>
        <v>#REF!</v>
      </c>
      <c r="Z408" s="146"/>
      <c r="AA408" s="147"/>
      <c r="AB408" s="147"/>
    </row>
    <row r="409" spans="1:28">
      <c r="A409" s="137"/>
      <c r="B409" s="135"/>
      <c r="C409" s="136"/>
      <c r="D409" s="137"/>
      <c r="E409" s="138"/>
      <c r="F409" s="139"/>
      <c r="G409" s="137"/>
      <c r="H409" s="137"/>
      <c r="I409" s="140"/>
      <c r="J409" s="140"/>
      <c r="K409" s="140"/>
      <c r="L409" s="137"/>
      <c r="M409" s="141"/>
      <c r="N409" s="142"/>
      <c r="O409" s="141"/>
      <c r="P409" s="142"/>
      <c r="Q409" s="143"/>
      <c r="R409" s="143"/>
      <c r="S409" s="143"/>
      <c r="T409" s="144"/>
      <c r="U409" s="143"/>
      <c r="V409" s="143"/>
      <c r="W409" s="143"/>
      <c r="X409" s="143"/>
      <c r="Y409" s="145" t="e">
        <f>VLOOKUP(#REF!,#REF!,18,FALSE)</f>
        <v>#REF!</v>
      </c>
      <c r="Z409" s="146"/>
      <c r="AA409" s="147"/>
      <c r="AB409" s="147"/>
    </row>
    <row r="410" spans="1:28">
      <c r="A410" s="137"/>
      <c r="B410" s="135"/>
      <c r="C410" s="136"/>
      <c r="D410" s="137"/>
      <c r="E410" s="138"/>
      <c r="F410" s="139"/>
      <c r="G410" s="137"/>
      <c r="H410" s="137"/>
      <c r="I410" s="140"/>
      <c r="J410" s="140"/>
      <c r="K410" s="140"/>
      <c r="L410" s="137"/>
      <c r="M410" s="141"/>
      <c r="N410" s="142"/>
      <c r="O410" s="141"/>
      <c r="P410" s="142"/>
      <c r="Q410" s="143"/>
      <c r="R410" s="143"/>
      <c r="S410" s="143"/>
      <c r="T410" s="144"/>
      <c r="U410" s="143"/>
      <c r="V410" s="143"/>
      <c r="W410" s="143"/>
      <c r="X410" s="143"/>
      <c r="Y410" s="145" t="e">
        <f>VLOOKUP(#REF!,#REF!,18,FALSE)</f>
        <v>#REF!</v>
      </c>
      <c r="Z410" s="146"/>
      <c r="AA410" s="147"/>
      <c r="AB410" s="147"/>
    </row>
    <row r="411" spans="1:28">
      <c r="A411" s="137"/>
      <c r="B411" s="135"/>
      <c r="C411" s="136"/>
      <c r="D411" s="137"/>
      <c r="E411" s="138"/>
      <c r="F411" s="139"/>
      <c r="G411" s="137"/>
      <c r="H411" s="137"/>
      <c r="I411" s="140"/>
      <c r="J411" s="140"/>
      <c r="K411" s="140"/>
      <c r="L411" s="137"/>
      <c r="M411" s="141"/>
      <c r="N411" s="142"/>
      <c r="O411" s="141"/>
      <c r="P411" s="142"/>
      <c r="Q411" s="143"/>
      <c r="R411" s="143"/>
      <c r="S411" s="143"/>
      <c r="T411" s="144"/>
      <c r="U411" s="143"/>
      <c r="V411" s="143"/>
      <c r="W411" s="143"/>
      <c r="X411" s="143"/>
      <c r="Y411" s="145" t="e">
        <f>VLOOKUP(#REF!,#REF!,18,FALSE)</f>
        <v>#REF!</v>
      </c>
      <c r="Z411" s="146"/>
      <c r="AA411" s="147"/>
      <c r="AB411" s="147"/>
    </row>
    <row r="412" spans="1:28">
      <c r="A412" s="137"/>
      <c r="B412" s="135"/>
      <c r="C412" s="136"/>
      <c r="D412" s="137"/>
      <c r="E412" s="138"/>
      <c r="F412" s="139"/>
      <c r="G412" s="137"/>
      <c r="H412" s="137"/>
      <c r="I412" s="140"/>
      <c r="J412" s="140"/>
      <c r="K412" s="140"/>
      <c r="L412" s="137"/>
      <c r="M412" s="141"/>
      <c r="N412" s="142"/>
      <c r="O412" s="141"/>
      <c r="P412" s="142"/>
      <c r="Q412" s="143"/>
      <c r="R412" s="143"/>
      <c r="S412" s="143"/>
      <c r="T412" s="144"/>
      <c r="U412" s="143"/>
      <c r="V412" s="143"/>
      <c r="W412" s="143"/>
      <c r="X412" s="143"/>
      <c r="Y412" s="145" t="e">
        <f>VLOOKUP(#REF!,#REF!,18,FALSE)</f>
        <v>#REF!</v>
      </c>
      <c r="Z412" s="146"/>
      <c r="AA412" s="147"/>
      <c r="AB412" s="147"/>
    </row>
    <row r="413" spans="1:28">
      <c r="A413" s="137"/>
      <c r="B413" s="135"/>
      <c r="C413" s="136"/>
      <c r="D413" s="137"/>
      <c r="E413" s="138"/>
      <c r="F413" s="139"/>
      <c r="G413" s="137"/>
      <c r="H413" s="137"/>
      <c r="I413" s="140"/>
      <c r="J413" s="140"/>
      <c r="K413" s="140"/>
      <c r="L413" s="137"/>
      <c r="M413" s="141"/>
      <c r="N413" s="142"/>
      <c r="O413" s="141"/>
      <c r="P413" s="142"/>
      <c r="Q413" s="143"/>
      <c r="R413" s="143"/>
      <c r="S413" s="143"/>
      <c r="T413" s="144"/>
      <c r="U413" s="143"/>
      <c r="V413" s="143"/>
      <c r="W413" s="143"/>
      <c r="X413" s="143"/>
      <c r="Y413" s="145" t="e">
        <f>VLOOKUP(#REF!,#REF!,18,FALSE)</f>
        <v>#REF!</v>
      </c>
      <c r="Z413" s="146"/>
      <c r="AA413" s="147"/>
      <c r="AB413" s="147"/>
    </row>
    <row r="414" spans="1:28">
      <c r="A414" s="137"/>
      <c r="B414" s="135"/>
      <c r="C414" s="136"/>
      <c r="D414" s="137"/>
      <c r="E414" s="138"/>
      <c r="F414" s="139"/>
      <c r="G414" s="137"/>
      <c r="H414" s="137"/>
      <c r="I414" s="140"/>
      <c r="J414" s="140"/>
      <c r="K414" s="140"/>
      <c r="L414" s="137"/>
      <c r="M414" s="141"/>
      <c r="N414" s="142"/>
      <c r="O414" s="141"/>
      <c r="P414" s="142"/>
      <c r="Q414" s="143"/>
      <c r="R414" s="143"/>
      <c r="S414" s="143"/>
      <c r="T414" s="144"/>
      <c r="U414" s="143"/>
      <c r="V414" s="143"/>
      <c r="W414" s="143"/>
      <c r="X414" s="143"/>
      <c r="Y414" s="145" t="e">
        <f>VLOOKUP(#REF!,#REF!,18,FALSE)</f>
        <v>#REF!</v>
      </c>
      <c r="Z414" s="146"/>
      <c r="AA414" s="147"/>
      <c r="AB414" s="147"/>
    </row>
    <row r="415" spans="1:28">
      <c r="A415" s="137"/>
      <c r="B415" s="135"/>
      <c r="C415" s="136"/>
      <c r="D415" s="137"/>
      <c r="E415" s="138"/>
      <c r="F415" s="139"/>
      <c r="G415" s="137"/>
      <c r="H415" s="137"/>
      <c r="I415" s="140"/>
      <c r="J415" s="140"/>
      <c r="K415" s="140"/>
      <c r="L415" s="137"/>
      <c r="M415" s="141"/>
      <c r="N415" s="142"/>
      <c r="O415" s="141"/>
      <c r="P415" s="142"/>
      <c r="Q415" s="143"/>
      <c r="R415" s="143"/>
      <c r="S415" s="143"/>
      <c r="T415" s="144"/>
      <c r="U415" s="143"/>
      <c r="V415" s="143"/>
      <c r="W415" s="143"/>
      <c r="X415" s="143"/>
      <c r="Y415" s="145" t="e">
        <f>VLOOKUP(#REF!,#REF!,18,FALSE)</f>
        <v>#REF!</v>
      </c>
      <c r="Z415" s="146"/>
      <c r="AA415" s="147"/>
      <c r="AB415" s="147"/>
    </row>
    <row r="416" spans="1:28">
      <c r="A416" s="137"/>
      <c r="B416" s="135"/>
      <c r="C416" s="136"/>
      <c r="D416" s="137"/>
      <c r="E416" s="138"/>
      <c r="F416" s="139"/>
      <c r="G416" s="137"/>
      <c r="H416" s="137"/>
      <c r="I416" s="140"/>
      <c r="J416" s="140"/>
      <c r="K416" s="140"/>
      <c r="L416" s="137"/>
      <c r="M416" s="141"/>
      <c r="N416" s="142"/>
      <c r="O416" s="141"/>
      <c r="P416" s="142"/>
      <c r="Q416" s="143"/>
      <c r="R416" s="143"/>
      <c r="S416" s="143"/>
      <c r="T416" s="144"/>
      <c r="U416" s="143"/>
      <c r="V416" s="143"/>
      <c r="W416" s="143"/>
      <c r="X416" s="143"/>
      <c r="Y416" s="145" t="e">
        <f>VLOOKUP(#REF!,#REF!,18,FALSE)</f>
        <v>#REF!</v>
      </c>
      <c r="Z416" s="146"/>
      <c r="AA416" s="147"/>
      <c r="AB416" s="147"/>
    </row>
    <row r="417" spans="1:28">
      <c r="A417" s="137"/>
      <c r="B417" s="135"/>
      <c r="C417" s="136"/>
      <c r="D417" s="137"/>
      <c r="E417" s="138"/>
      <c r="F417" s="139"/>
      <c r="G417" s="137"/>
      <c r="H417" s="137"/>
      <c r="I417" s="140"/>
      <c r="J417" s="140"/>
      <c r="K417" s="140"/>
      <c r="L417" s="137"/>
      <c r="M417" s="141"/>
      <c r="N417" s="142"/>
      <c r="O417" s="141"/>
      <c r="P417" s="142"/>
      <c r="Q417" s="143"/>
      <c r="R417" s="143"/>
      <c r="S417" s="143"/>
      <c r="T417" s="144"/>
      <c r="U417" s="143"/>
      <c r="V417" s="143"/>
      <c r="W417" s="143"/>
      <c r="X417" s="143"/>
      <c r="Y417" s="145" t="e">
        <f>VLOOKUP(#REF!,#REF!,18,FALSE)</f>
        <v>#REF!</v>
      </c>
      <c r="Z417" s="146"/>
      <c r="AA417" s="147"/>
      <c r="AB417" s="147"/>
    </row>
    <row r="418" spans="1:28">
      <c r="A418" s="137"/>
      <c r="B418" s="135"/>
      <c r="C418" s="136"/>
      <c r="D418" s="137"/>
      <c r="E418" s="138"/>
      <c r="F418" s="139"/>
      <c r="G418" s="137"/>
      <c r="H418" s="137"/>
      <c r="I418" s="140"/>
      <c r="J418" s="140"/>
      <c r="K418" s="140"/>
      <c r="L418" s="137"/>
      <c r="M418" s="141"/>
      <c r="N418" s="142"/>
      <c r="O418" s="141"/>
      <c r="P418" s="142"/>
      <c r="Q418" s="143"/>
      <c r="R418" s="143"/>
      <c r="S418" s="143"/>
      <c r="T418" s="144"/>
      <c r="U418" s="143"/>
      <c r="V418" s="143"/>
      <c r="W418" s="143"/>
      <c r="X418" s="143"/>
      <c r="Y418" s="145" t="e">
        <f>VLOOKUP(#REF!,#REF!,18,FALSE)</f>
        <v>#REF!</v>
      </c>
      <c r="Z418" s="146"/>
      <c r="AA418" s="147"/>
      <c r="AB418" s="147"/>
    </row>
    <row r="419" spans="1:28">
      <c r="A419" s="137"/>
      <c r="B419" s="135"/>
      <c r="C419" s="136"/>
      <c r="D419" s="137"/>
      <c r="E419" s="138"/>
      <c r="F419" s="139"/>
      <c r="G419" s="137"/>
      <c r="H419" s="137"/>
      <c r="I419" s="140"/>
      <c r="J419" s="140"/>
      <c r="K419" s="140"/>
      <c r="L419" s="137"/>
      <c r="M419" s="141"/>
      <c r="N419" s="142"/>
      <c r="O419" s="141"/>
      <c r="P419" s="142"/>
      <c r="Q419" s="143"/>
      <c r="R419" s="143"/>
      <c r="S419" s="143"/>
      <c r="T419" s="144"/>
      <c r="U419" s="143"/>
      <c r="V419" s="143"/>
      <c r="W419" s="143"/>
      <c r="X419" s="143"/>
      <c r="Y419" s="145" t="e">
        <f>VLOOKUP(#REF!,#REF!,18,FALSE)</f>
        <v>#REF!</v>
      </c>
      <c r="Z419" s="146"/>
      <c r="AA419" s="147"/>
      <c r="AB419" s="147"/>
    </row>
    <row r="420" spans="1:28">
      <c r="A420" s="137"/>
      <c r="B420" s="135"/>
      <c r="C420" s="136"/>
      <c r="D420" s="137"/>
      <c r="E420" s="138"/>
      <c r="F420" s="139"/>
      <c r="G420" s="137"/>
      <c r="H420" s="137"/>
      <c r="I420" s="140"/>
      <c r="J420" s="140"/>
      <c r="K420" s="140"/>
      <c r="L420" s="137"/>
      <c r="M420" s="141"/>
      <c r="N420" s="142"/>
      <c r="O420" s="141"/>
      <c r="P420" s="142"/>
      <c r="Q420" s="143"/>
      <c r="R420" s="143"/>
      <c r="S420" s="143"/>
      <c r="T420" s="144"/>
      <c r="U420" s="143"/>
      <c r="V420" s="143"/>
      <c r="W420" s="143"/>
      <c r="X420" s="143"/>
      <c r="Y420" s="145" t="e">
        <f>VLOOKUP(#REF!,#REF!,18,FALSE)</f>
        <v>#REF!</v>
      </c>
      <c r="Z420" s="146"/>
      <c r="AA420" s="147"/>
      <c r="AB420" s="147"/>
    </row>
    <row r="421" spans="1:28">
      <c r="A421" s="137"/>
      <c r="B421" s="135"/>
      <c r="C421" s="136"/>
      <c r="D421" s="137"/>
      <c r="E421" s="138"/>
      <c r="F421" s="139"/>
      <c r="G421" s="137"/>
      <c r="H421" s="137"/>
      <c r="I421" s="140"/>
      <c r="J421" s="140"/>
      <c r="K421" s="140"/>
      <c r="L421" s="137"/>
      <c r="M421" s="141"/>
      <c r="N421" s="142"/>
      <c r="O421" s="141"/>
      <c r="P421" s="142"/>
      <c r="Q421" s="143"/>
      <c r="R421" s="143"/>
      <c r="S421" s="143"/>
      <c r="T421" s="144"/>
      <c r="U421" s="143"/>
      <c r="V421" s="143"/>
      <c r="W421" s="143"/>
      <c r="X421" s="143"/>
      <c r="Y421" s="145" t="e">
        <f>VLOOKUP(#REF!,#REF!,18,FALSE)</f>
        <v>#REF!</v>
      </c>
      <c r="Z421" s="146"/>
      <c r="AA421" s="147"/>
      <c r="AB421" s="147"/>
    </row>
    <row r="422" spans="1:28">
      <c r="A422" s="137"/>
      <c r="B422" s="135"/>
      <c r="C422" s="136"/>
      <c r="D422" s="137"/>
      <c r="E422" s="138"/>
      <c r="F422" s="139"/>
      <c r="G422" s="137"/>
      <c r="H422" s="137"/>
      <c r="I422" s="140"/>
      <c r="J422" s="140"/>
      <c r="K422" s="140"/>
      <c r="L422" s="137"/>
      <c r="M422" s="141"/>
      <c r="N422" s="142"/>
      <c r="O422" s="141"/>
      <c r="P422" s="142"/>
      <c r="Q422" s="143"/>
      <c r="R422" s="143"/>
      <c r="S422" s="143"/>
      <c r="T422" s="144"/>
      <c r="U422" s="143"/>
      <c r="V422" s="143"/>
      <c r="W422" s="143"/>
      <c r="X422" s="143"/>
      <c r="Y422" s="145" t="e">
        <f>VLOOKUP(#REF!,#REF!,18,FALSE)</f>
        <v>#REF!</v>
      </c>
      <c r="Z422" s="146"/>
      <c r="AA422" s="147"/>
      <c r="AB422" s="147"/>
    </row>
    <row r="423" spans="1:28">
      <c r="A423" s="137"/>
      <c r="B423" s="135"/>
      <c r="C423" s="136"/>
      <c r="D423" s="137"/>
      <c r="E423" s="138"/>
      <c r="F423" s="139"/>
      <c r="G423" s="137"/>
      <c r="H423" s="137"/>
      <c r="I423" s="140"/>
      <c r="J423" s="140"/>
      <c r="K423" s="140"/>
      <c r="L423" s="137"/>
      <c r="M423" s="141"/>
      <c r="N423" s="142"/>
      <c r="O423" s="141"/>
      <c r="P423" s="142"/>
      <c r="Q423" s="143"/>
      <c r="R423" s="143"/>
      <c r="S423" s="143"/>
      <c r="T423" s="144"/>
      <c r="U423" s="143"/>
      <c r="V423" s="143"/>
      <c r="W423" s="143"/>
      <c r="X423" s="143"/>
      <c r="Y423" s="145" t="e">
        <f>VLOOKUP(#REF!,#REF!,18,FALSE)</f>
        <v>#REF!</v>
      </c>
      <c r="Z423" s="146"/>
      <c r="AA423" s="147"/>
      <c r="AB423" s="147"/>
    </row>
    <row r="424" spans="1:28">
      <c r="A424" s="137"/>
      <c r="B424" s="135"/>
      <c r="C424" s="136"/>
      <c r="D424" s="137"/>
      <c r="E424" s="138"/>
      <c r="F424" s="139"/>
      <c r="G424" s="137"/>
      <c r="H424" s="137"/>
      <c r="I424" s="140"/>
      <c r="J424" s="140"/>
      <c r="K424" s="140"/>
      <c r="L424" s="137"/>
      <c r="M424" s="141"/>
      <c r="N424" s="142"/>
      <c r="O424" s="141"/>
      <c r="P424" s="142"/>
      <c r="Q424" s="143"/>
      <c r="R424" s="143"/>
      <c r="S424" s="143"/>
      <c r="T424" s="144"/>
      <c r="U424" s="143"/>
      <c r="V424" s="143"/>
      <c r="W424" s="143"/>
      <c r="X424" s="143"/>
      <c r="Y424" s="145" t="e">
        <f>VLOOKUP(#REF!,#REF!,18,FALSE)</f>
        <v>#REF!</v>
      </c>
      <c r="Z424" s="146"/>
      <c r="AA424" s="147"/>
      <c r="AB424" s="147"/>
    </row>
    <row r="425" spans="1:28">
      <c r="A425" s="137"/>
      <c r="B425" s="135"/>
      <c r="C425" s="136"/>
      <c r="D425" s="137"/>
      <c r="E425" s="138"/>
      <c r="F425" s="139"/>
      <c r="G425" s="137"/>
      <c r="H425" s="137"/>
      <c r="I425" s="140"/>
      <c r="J425" s="140"/>
      <c r="K425" s="140"/>
      <c r="L425" s="137"/>
      <c r="M425" s="141"/>
      <c r="N425" s="142"/>
      <c r="O425" s="141"/>
      <c r="P425" s="142"/>
      <c r="Q425" s="143"/>
      <c r="R425" s="143"/>
      <c r="S425" s="143"/>
      <c r="T425" s="144"/>
      <c r="U425" s="143"/>
      <c r="V425" s="143"/>
      <c r="W425" s="143"/>
      <c r="X425" s="143"/>
      <c r="Y425" s="145" t="e">
        <f>VLOOKUP(#REF!,#REF!,18,FALSE)</f>
        <v>#REF!</v>
      </c>
      <c r="Z425" s="146"/>
      <c r="AA425" s="147"/>
      <c r="AB425" s="147"/>
    </row>
    <row r="426" spans="1:28">
      <c r="A426" s="137"/>
      <c r="B426" s="135"/>
      <c r="C426" s="136"/>
      <c r="D426" s="137"/>
      <c r="E426" s="138"/>
      <c r="F426" s="139"/>
      <c r="G426" s="137"/>
      <c r="H426" s="137"/>
      <c r="I426" s="140"/>
      <c r="J426" s="140"/>
      <c r="K426" s="140"/>
      <c r="L426" s="137"/>
      <c r="M426" s="141"/>
      <c r="N426" s="142"/>
      <c r="O426" s="141"/>
      <c r="P426" s="142"/>
      <c r="Q426" s="143"/>
      <c r="R426" s="143"/>
      <c r="S426" s="143"/>
      <c r="T426" s="144"/>
      <c r="U426" s="143"/>
      <c r="V426" s="143"/>
      <c r="W426" s="143"/>
      <c r="X426" s="143"/>
      <c r="Y426" s="145" t="e">
        <f>VLOOKUP(#REF!,#REF!,18,FALSE)</f>
        <v>#REF!</v>
      </c>
      <c r="Z426" s="146"/>
      <c r="AA426" s="147"/>
      <c r="AB426" s="147"/>
    </row>
    <row r="427" spans="1:28">
      <c r="A427" s="137"/>
      <c r="B427" s="135"/>
      <c r="C427" s="136"/>
      <c r="D427" s="137"/>
      <c r="E427" s="138"/>
      <c r="F427" s="139"/>
      <c r="G427" s="137"/>
      <c r="H427" s="137"/>
      <c r="I427" s="140"/>
      <c r="J427" s="140"/>
      <c r="K427" s="140"/>
      <c r="L427" s="137"/>
      <c r="M427" s="141"/>
      <c r="N427" s="142"/>
      <c r="O427" s="141"/>
      <c r="P427" s="142"/>
      <c r="Q427" s="143"/>
      <c r="R427" s="143"/>
      <c r="S427" s="143"/>
      <c r="T427" s="144"/>
      <c r="U427" s="143"/>
      <c r="V427" s="143"/>
      <c r="W427" s="143"/>
      <c r="X427" s="143"/>
      <c r="Y427" s="145" t="e">
        <f>VLOOKUP(#REF!,#REF!,18,FALSE)</f>
        <v>#REF!</v>
      </c>
      <c r="Z427" s="146"/>
      <c r="AA427" s="147"/>
      <c r="AB427" s="147"/>
    </row>
    <row r="428" spans="1:28">
      <c r="A428" s="137"/>
      <c r="B428" s="135"/>
      <c r="C428" s="136"/>
      <c r="D428" s="137"/>
      <c r="E428" s="138"/>
      <c r="F428" s="139"/>
      <c r="G428" s="137"/>
      <c r="H428" s="137"/>
      <c r="I428" s="140"/>
      <c r="J428" s="140"/>
      <c r="K428" s="140"/>
      <c r="L428" s="137"/>
      <c r="M428" s="141"/>
      <c r="N428" s="142"/>
      <c r="O428" s="141"/>
      <c r="P428" s="142"/>
      <c r="Q428" s="143"/>
      <c r="R428" s="143"/>
      <c r="S428" s="143"/>
      <c r="T428" s="144"/>
      <c r="U428" s="143"/>
      <c r="V428" s="143"/>
      <c r="W428" s="143"/>
      <c r="X428" s="143"/>
      <c r="Y428" s="145" t="e">
        <f>VLOOKUP(#REF!,#REF!,18,FALSE)</f>
        <v>#REF!</v>
      </c>
      <c r="Z428" s="146"/>
      <c r="AA428" s="147"/>
      <c r="AB428" s="147"/>
    </row>
    <row r="429" spans="1:28">
      <c r="A429" s="137"/>
      <c r="B429" s="135"/>
      <c r="C429" s="136"/>
      <c r="D429" s="137"/>
      <c r="E429" s="138"/>
      <c r="F429" s="139"/>
      <c r="G429" s="137"/>
      <c r="H429" s="137"/>
      <c r="I429" s="140"/>
      <c r="J429" s="140"/>
      <c r="K429" s="140"/>
      <c r="L429" s="137"/>
      <c r="M429" s="141"/>
      <c r="N429" s="142"/>
      <c r="O429" s="141"/>
      <c r="P429" s="142"/>
      <c r="Q429" s="143"/>
      <c r="R429" s="143"/>
      <c r="S429" s="143"/>
      <c r="T429" s="144"/>
      <c r="U429" s="143"/>
      <c r="V429" s="143"/>
      <c r="W429" s="143"/>
      <c r="X429" s="143"/>
      <c r="Y429" s="145" t="e">
        <f>VLOOKUP(#REF!,#REF!,18,FALSE)</f>
        <v>#REF!</v>
      </c>
      <c r="Z429" s="146"/>
      <c r="AA429" s="147"/>
      <c r="AB429" s="147"/>
    </row>
    <row r="430" spans="1:28">
      <c r="A430" s="137"/>
      <c r="B430" s="135"/>
      <c r="C430" s="136"/>
      <c r="D430" s="137"/>
      <c r="E430" s="138"/>
      <c r="F430" s="139"/>
      <c r="G430" s="137"/>
      <c r="H430" s="137"/>
      <c r="I430" s="140"/>
      <c r="J430" s="140"/>
      <c r="K430" s="140"/>
      <c r="L430" s="137"/>
      <c r="M430" s="141"/>
      <c r="N430" s="142"/>
      <c r="O430" s="141"/>
      <c r="P430" s="142"/>
      <c r="Q430" s="143"/>
      <c r="R430" s="143"/>
      <c r="S430" s="143"/>
      <c r="T430" s="144"/>
      <c r="U430" s="143"/>
      <c r="V430" s="143"/>
      <c r="W430" s="143"/>
      <c r="X430" s="143"/>
      <c r="Y430" s="145" t="e">
        <f>VLOOKUP(#REF!,#REF!,18,FALSE)</f>
        <v>#REF!</v>
      </c>
      <c r="Z430" s="146"/>
      <c r="AA430" s="147"/>
      <c r="AB430" s="147"/>
    </row>
    <row r="431" spans="1:28">
      <c r="A431" s="117"/>
      <c r="B431" s="115"/>
      <c r="C431" s="116"/>
      <c r="D431" s="117"/>
      <c r="E431" s="118"/>
      <c r="F431" s="119"/>
      <c r="G431" s="117"/>
      <c r="H431" s="117"/>
      <c r="I431" s="120"/>
      <c r="J431" s="120"/>
      <c r="K431" s="120"/>
      <c r="L431" s="117"/>
      <c r="M431" s="121"/>
      <c r="N431" s="122"/>
      <c r="O431" s="121"/>
      <c r="P431" s="122"/>
      <c r="Q431" s="123"/>
      <c r="R431" s="123"/>
      <c r="S431" s="123"/>
      <c r="T431" s="124"/>
      <c r="U431" s="123"/>
      <c r="V431" s="123"/>
      <c r="W431" s="123"/>
      <c r="X431" s="123"/>
      <c r="Y431" s="125" t="e">
        <f>VLOOKUP(#REF!,#REF!,18,FALSE)</f>
        <v>#REF!</v>
      </c>
      <c r="Z431" s="126"/>
      <c r="AA431" s="127"/>
      <c r="AB431" s="127"/>
    </row>
    <row r="432" spans="1:28">
      <c r="A432" s="117"/>
      <c r="B432" s="115"/>
      <c r="C432" s="116"/>
      <c r="D432" s="117"/>
      <c r="E432" s="118"/>
      <c r="F432" s="119"/>
      <c r="G432" s="117"/>
      <c r="H432" s="117"/>
      <c r="I432" s="120"/>
      <c r="J432" s="120"/>
      <c r="K432" s="120"/>
      <c r="L432" s="117"/>
      <c r="M432" s="121"/>
      <c r="N432" s="122"/>
      <c r="O432" s="121"/>
      <c r="P432" s="122"/>
      <c r="Q432" s="123"/>
      <c r="R432" s="123"/>
      <c r="S432" s="123"/>
      <c r="T432" s="124"/>
      <c r="U432" s="123"/>
      <c r="V432" s="123"/>
      <c r="W432" s="123"/>
      <c r="X432" s="123"/>
      <c r="Y432" s="125" t="e">
        <f>VLOOKUP(#REF!,#REF!,18,FALSE)</f>
        <v>#REF!</v>
      </c>
      <c r="Z432" s="126"/>
      <c r="AA432" s="127"/>
      <c r="AB432" s="127"/>
    </row>
    <row r="433" spans="1:28">
      <c r="A433" s="117"/>
      <c r="B433" s="115"/>
      <c r="C433" s="116"/>
      <c r="D433" s="117"/>
      <c r="E433" s="118"/>
      <c r="F433" s="119"/>
      <c r="G433" s="117"/>
      <c r="H433" s="117"/>
      <c r="I433" s="120"/>
      <c r="J433" s="120"/>
      <c r="K433" s="120"/>
      <c r="L433" s="117"/>
      <c r="M433" s="121"/>
      <c r="N433" s="122"/>
      <c r="O433" s="121"/>
      <c r="P433" s="122"/>
      <c r="Q433" s="123"/>
      <c r="R433" s="123"/>
      <c r="S433" s="123"/>
      <c r="T433" s="124"/>
      <c r="U433" s="123"/>
      <c r="V433" s="123"/>
      <c r="W433" s="123"/>
      <c r="X433" s="123"/>
      <c r="Y433" s="125" t="e">
        <f>VLOOKUP(#REF!,#REF!,18,FALSE)</f>
        <v>#REF!</v>
      </c>
      <c r="Z433" s="126"/>
      <c r="AA433" s="127"/>
      <c r="AB433" s="127"/>
    </row>
    <row r="434" spans="1:28">
      <c r="A434" s="117"/>
      <c r="B434" s="115"/>
      <c r="C434" s="116"/>
      <c r="D434" s="117"/>
      <c r="E434" s="118"/>
      <c r="F434" s="119"/>
      <c r="G434" s="117"/>
      <c r="H434" s="117"/>
      <c r="I434" s="120"/>
      <c r="J434" s="120"/>
      <c r="K434" s="120"/>
      <c r="L434" s="117"/>
      <c r="M434" s="121"/>
      <c r="N434" s="122"/>
      <c r="O434" s="121"/>
      <c r="P434" s="122"/>
      <c r="Q434" s="123"/>
      <c r="R434" s="123"/>
      <c r="S434" s="123"/>
      <c r="T434" s="124"/>
      <c r="U434" s="123"/>
      <c r="V434" s="123"/>
      <c r="W434" s="123"/>
      <c r="X434" s="123"/>
      <c r="Y434" s="125" t="e">
        <f>VLOOKUP(#REF!,#REF!,18,FALSE)</f>
        <v>#REF!</v>
      </c>
      <c r="Z434" s="126"/>
      <c r="AA434" s="127"/>
      <c r="AB434" s="127"/>
    </row>
    <row r="435" spans="1:28">
      <c r="A435" s="117"/>
      <c r="B435" s="115"/>
      <c r="C435" s="116"/>
      <c r="D435" s="117"/>
      <c r="E435" s="118"/>
      <c r="F435" s="119"/>
      <c r="G435" s="117"/>
      <c r="H435" s="117"/>
      <c r="I435" s="120"/>
      <c r="J435" s="120"/>
      <c r="K435" s="120"/>
      <c r="L435" s="117"/>
      <c r="M435" s="121"/>
      <c r="N435" s="122"/>
      <c r="O435" s="121"/>
      <c r="P435" s="122"/>
      <c r="Q435" s="123"/>
      <c r="R435" s="123"/>
      <c r="S435" s="123"/>
      <c r="T435" s="124"/>
      <c r="U435" s="123"/>
      <c r="V435" s="123"/>
      <c r="W435" s="123"/>
      <c r="X435" s="123"/>
      <c r="Y435" s="125" t="e">
        <f>VLOOKUP(#REF!,#REF!,18,FALSE)</f>
        <v>#REF!</v>
      </c>
      <c r="Z435" s="126"/>
      <c r="AA435" s="127"/>
      <c r="AB435" s="127"/>
    </row>
    <row r="436" spans="1:28">
      <c r="A436" s="117"/>
      <c r="B436" s="115"/>
      <c r="C436" s="116"/>
      <c r="D436" s="117"/>
      <c r="E436" s="118"/>
      <c r="F436" s="119"/>
      <c r="G436" s="117"/>
      <c r="H436" s="117"/>
      <c r="I436" s="120"/>
      <c r="J436" s="120"/>
      <c r="K436" s="120"/>
      <c r="L436" s="117"/>
      <c r="M436" s="121"/>
      <c r="N436" s="122"/>
      <c r="O436" s="121"/>
      <c r="P436" s="122"/>
      <c r="Q436" s="123"/>
      <c r="R436" s="123"/>
      <c r="S436" s="123"/>
      <c r="T436" s="124"/>
      <c r="U436" s="123"/>
      <c r="V436" s="123"/>
      <c r="W436" s="123"/>
      <c r="X436" s="123"/>
      <c r="Y436" s="125" t="e">
        <f>VLOOKUP(#REF!,#REF!,18,FALSE)</f>
        <v>#REF!</v>
      </c>
      <c r="Z436" s="126"/>
      <c r="AA436" s="127"/>
      <c r="AB436" s="127"/>
    </row>
    <row r="437" spans="1:28">
      <c r="A437" s="117"/>
      <c r="B437" s="115"/>
      <c r="C437" s="116"/>
      <c r="D437" s="117"/>
      <c r="E437" s="118"/>
      <c r="F437" s="119"/>
      <c r="G437" s="117"/>
      <c r="H437" s="117"/>
      <c r="I437" s="120"/>
      <c r="J437" s="120"/>
      <c r="K437" s="120"/>
      <c r="L437" s="117"/>
      <c r="M437" s="121"/>
      <c r="N437" s="122"/>
      <c r="O437" s="121"/>
      <c r="P437" s="122"/>
      <c r="Q437" s="123"/>
      <c r="R437" s="123"/>
      <c r="S437" s="123"/>
      <c r="T437" s="124"/>
      <c r="U437" s="123"/>
      <c r="V437" s="123"/>
      <c r="W437" s="123"/>
      <c r="X437" s="123"/>
      <c r="Y437" s="125" t="e">
        <f>VLOOKUP(#REF!,#REF!,18,FALSE)</f>
        <v>#REF!</v>
      </c>
      <c r="Z437" s="126"/>
      <c r="AA437" s="127"/>
      <c r="AB437" s="127"/>
    </row>
    <row r="438" spans="1:28">
      <c r="A438" s="117"/>
      <c r="B438" s="115"/>
      <c r="C438" s="116"/>
      <c r="D438" s="117"/>
      <c r="E438" s="118"/>
      <c r="F438" s="119"/>
      <c r="G438" s="117"/>
      <c r="H438" s="117"/>
      <c r="I438" s="120"/>
      <c r="J438" s="120"/>
      <c r="K438" s="120"/>
      <c r="L438" s="117"/>
      <c r="M438" s="121"/>
      <c r="N438" s="122"/>
      <c r="O438" s="121"/>
      <c r="P438" s="122"/>
      <c r="Q438" s="123"/>
      <c r="R438" s="123"/>
      <c r="S438" s="123"/>
      <c r="T438" s="124"/>
      <c r="U438" s="123"/>
      <c r="V438" s="123"/>
      <c r="W438" s="123"/>
      <c r="X438" s="123"/>
      <c r="Y438" s="125" t="e">
        <f>VLOOKUP(#REF!,#REF!,18,FALSE)</f>
        <v>#REF!</v>
      </c>
      <c r="Z438" s="126"/>
      <c r="AA438" s="127"/>
      <c r="AB438" s="127"/>
    </row>
    <row r="439" spans="1:28">
      <c r="A439" s="117"/>
      <c r="B439" s="115"/>
      <c r="C439" s="116"/>
      <c r="D439" s="117"/>
      <c r="E439" s="118"/>
      <c r="F439" s="119"/>
      <c r="G439" s="117"/>
      <c r="H439" s="117"/>
      <c r="I439" s="120"/>
      <c r="J439" s="120"/>
      <c r="K439" s="120"/>
      <c r="L439" s="117"/>
      <c r="M439" s="121"/>
      <c r="N439" s="122"/>
      <c r="O439" s="121"/>
      <c r="P439" s="122"/>
      <c r="Q439" s="123"/>
      <c r="R439" s="123"/>
      <c r="S439" s="123"/>
      <c r="T439" s="124"/>
      <c r="U439" s="123"/>
      <c r="V439" s="123"/>
      <c r="W439" s="123"/>
      <c r="X439" s="123"/>
      <c r="Y439" s="125" t="e">
        <f>VLOOKUP(#REF!,#REF!,18,FALSE)</f>
        <v>#REF!</v>
      </c>
      <c r="Z439" s="126"/>
      <c r="AA439" s="127"/>
      <c r="AB439" s="127"/>
    </row>
    <row r="440" spans="1:28">
      <c r="A440" s="117"/>
      <c r="B440" s="115"/>
      <c r="C440" s="116"/>
      <c r="D440" s="117"/>
      <c r="E440" s="118"/>
      <c r="F440" s="119"/>
      <c r="G440" s="117"/>
      <c r="H440" s="117"/>
      <c r="I440" s="120"/>
      <c r="J440" s="120"/>
      <c r="K440" s="120"/>
      <c r="L440" s="117"/>
      <c r="M440" s="121"/>
      <c r="N440" s="122"/>
      <c r="O440" s="121"/>
      <c r="P440" s="122"/>
      <c r="Q440" s="123"/>
      <c r="R440" s="123"/>
      <c r="S440" s="123"/>
      <c r="T440" s="124"/>
      <c r="U440" s="123"/>
      <c r="V440" s="123"/>
      <c r="W440" s="123"/>
      <c r="X440" s="123"/>
      <c r="Y440" s="125" t="e">
        <f>VLOOKUP(#REF!,#REF!,18,FALSE)</f>
        <v>#REF!</v>
      </c>
      <c r="Z440" s="126"/>
      <c r="AA440" s="127"/>
      <c r="AB440" s="127"/>
    </row>
    <row r="441" spans="1:28">
      <c r="A441" s="117"/>
      <c r="B441" s="115"/>
      <c r="C441" s="116"/>
      <c r="D441" s="117"/>
      <c r="E441" s="118"/>
      <c r="F441" s="119"/>
      <c r="G441" s="117"/>
      <c r="H441" s="117"/>
      <c r="I441" s="120"/>
      <c r="J441" s="120"/>
      <c r="K441" s="120"/>
      <c r="L441" s="117"/>
      <c r="M441" s="121"/>
      <c r="N441" s="122"/>
      <c r="O441" s="121"/>
      <c r="P441" s="122"/>
      <c r="Q441" s="123"/>
      <c r="R441" s="123"/>
      <c r="S441" s="123"/>
      <c r="T441" s="124"/>
      <c r="U441" s="123"/>
      <c r="V441" s="123"/>
      <c r="W441" s="123"/>
      <c r="X441" s="123"/>
      <c r="Y441" s="125" t="e">
        <f>VLOOKUP(#REF!,#REF!,18,FALSE)</f>
        <v>#REF!</v>
      </c>
      <c r="Z441" s="126"/>
      <c r="AA441" s="127"/>
      <c r="AB441" s="127"/>
    </row>
    <row r="442" spans="1:28">
      <c r="A442" s="117"/>
      <c r="B442" s="115"/>
      <c r="C442" s="116"/>
      <c r="D442" s="117"/>
      <c r="E442" s="118"/>
      <c r="F442" s="119"/>
      <c r="G442" s="117"/>
      <c r="H442" s="117"/>
      <c r="I442" s="120"/>
      <c r="J442" s="120"/>
      <c r="K442" s="120"/>
      <c r="L442" s="117"/>
      <c r="M442" s="121"/>
      <c r="N442" s="122"/>
      <c r="O442" s="121"/>
      <c r="P442" s="122"/>
      <c r="Q442" s="123"/>
      <c r="R442" s="123"/>
      <c r="S442" s="123"/>
      <c r="T442" s="124"/>
      <c r="U442" s="123"/>
      <c r="V442" s="123"/>
      <c r="W442" s="123"/>
      <c r="X442" s="123"/>
      <c r="Y442" s="125" t="e">
        <f>VLOOKUP(#REF!,#REF!,18,FALSE)</f>
        <v>#REF!</v>
      </c>
      <c r="Z442" s="126"/>
      <c r="AA442" s="127"/>
      <c r="AB442" s="127"/>
    </row>
    <row r="443" spans="1:28">
      <c r="A443" s="117"/>
      <c r="B443" s="115"/>
      <c r="C443" s="116"/>
      <c r="D443" s="117"/>
      <c r="E443" s="118"/>
      <c r="F443" s="119"/>
      <c r="G443" s="117"/>
      <c r="H443" s="117"/>
      <c r="I443" s="120"/>
      <c r="J443" s="120"/>
      <c r="K443" s="120"/>
      <c r="L443" s="117"/>
      <c r="M443" s="121"/>
      <c r="N443" s="122"/>
      <c r="O443" s="121"/>
      <c r="P443" s="122"/>
      <c r="Q443" s="123"/>
      <c r="R443" s="123"/>
      <c r="S443" s="123"/>
      <c r="T443" s="124"/>
      <c r="U443" s="123"/>
      <c r="V443" s="123"/>
      <c r="W443" s="123"/>
      <c r="X443" s="123"/>
      <c r="Y443" s="125" t="e">
        <f>VLOOKUP(#REF!,#REF!,18,FALSE)</f>
        <v>#REF!</v>
      </c>
      <c r="Z443" s="126"/>
      <c r="AA443" s="127"/>
      <c r="AB443" s="127"/>
    </row>
    <row r="444" spans="1:28">
      <c r="A444" s="117"/>
      <c r="B444" s="115"/>
      <c r="C444" s="116"/>
      <c r="D444" s="117"/>
      <c r="E444" s="118"/>
      <c r="F444" s="119"/>
      <c r="G444" s="117"/>
      <c r="H444" s="117"/>
      <c r="I444" s="120"/>
      <c r="J444" s="120"/>
      <c r="K444" s="120"/>
      <c r="L444" s="117"/>
      <c r="M444" s="121"/>
      <c r="N444" s="122"/>
      <c r="O444" s="121"/>
      <c r="P444" s="122"/>
      <c r="Q444" s="123"/>
      <c r="R444" s="123"/>
      <c r="S444" s="123"/>
      <c r="T444" s="124"/>
      <c r="U444" s="123"/>
      <c r="V444" s="123"/>
      <c r="W444" s="123"/>
      <c r="X444" s="123"/>
      <c r="Y444" s="125" t="e">
        <f>VLOOKUP(#REF!,#REF!,18,FALSE)</f>
        <v>#REF!</v>
      </c>
      <c r="Z444" s="126"/>
      <c r="AA444" s="127"/>
      <c r="AB444" s="127"/>
    </row>
    <row r="445" spans="1:28">
      <c r="A445" s="117"/>
      <c r="B445" s="115"/>
      <c r="C445" s="116"/>
      <c r="D445" s="117"/>
      <c r="E445" s="118"/>
      <c r="F445" s="119"/>
      <c r="G445" s="117"/>
      <c r="H445" s="117"/>
      <c r="I445" s="120"/>
      <c r="J445" s="120"/>
      <c r="K445" s="120"/>
      <c r="L445" s="117"/>
      <c r="M445" s="121"/>
      <c r="N445" s="122"/>
      <c r="O445" s="121"/>
      <c r="P445" s="122"/>
      <c r="Q445" s="123"/>
      <c r="R445" s="123"/>
      <c r="S445" s="123"/>
      <c r="T445" s="124"/>
      <c r="U445" s="123"/>
      <c r="V445" s="123"/>
      <c r="W445" s="123"/>
      <c r="X445" s="123"/>
      <c r="Y445" s="125" t="e">
        <f>VLOOKUP(#REF!,#REF!,18,FALSE)</f>
        <v>#REF!</v>
      </c>
      <c r="Z445" s="126"/>
      <c r="AA445" s="127"/>
      <c r="AB445" s="127"/>
    </row>
    <row r="446" spans="1:28">
      <c r="A446" s="117"/>
      <c r="B446" s="115"/>
      <c r="C446" s="116"/>
      <c r="D446" s="117"/>
      <c r="E446" s="118"/>
      <c r="F446" s="119"/>
      <c r="G446" s="117"/>
      <c r="H446" s="117"/>
      <c r="I446" s="120"/>
      <c r="J446" s="120"/>
      <c r="K446" s="120"/>
      <c r="L446" s="117"/>
      <c r="M446" s="121"/>
      <c r="N446" s="122"/>
      <c r="O446" s="121"/>
      <c r="P446" s="122"/>
      <c r="Q446" s="123"/>
      <c r="R446" s="123"/>
      <c r="S446" s="123"/>
      <c r="T446" s="124"/>
      <c r="U446" s="123"/>
      <c r="V446" s="123"/>
      <c r="W446" s="123"/>
      <c r="X446" s="123"/>
      <c r="Y446" s="125" t="e">
        <f>VLOOKUP(#REF!,#REF!,18,FALSE)</f>
        <v>#REF!</v>
      </c>
      <c r="Z446" s="126"/>
      <c r="AA446" s="127"/>
      <c r="AB446" s="127"/>
    </row>
    <row r="447" spans="1:28">
      <c r="A447" s="117"/>
      <c r="B447" s="115"/>
      <c r="C447" s="116"/>
      <c r="D447" s="117"/>
      <c r="E447" s="118"/>
      <c r="F447" s="119"/>
      <c r="G447" s="117"/>
      <c r="H447" s="117"/>
      <c r="I447" s="120"/>
      <c r="J447" s="120"/>
      <c r="K447" s="120"/>
      <c r="L447" s="117"/>
      <c r="M447" s="121"/>
      <c r="N447" s="122"/>
      <c r="O447" s="121"/>
      <c r="P447" s="122"/>
      <c r="Q447" s="123"/>
      <c r="R447" s="123"/>
      <c r="S447" s="123"/>
      <c r="T447" s="124"/>
      <c r="U447" s="123"/>
      <c r="V447" s="123"/>
      <c r="W447" s="123"/>
      <c r="X447" s="123"/>
      <c r="Y447" s="125" t="e">
        <f>VLOOKUP(#REF!,#REF!,18,FALSE)</f>
        <v>#REF!</v>
      </c>
      <c r="Z447" s="126"/>
      <c r="AA447" s="127"/>
      <c r="AB447" s="127"/>
    </row>
    <row r="448" spans="1:28">
      <c r="A448" s="117"/>
      <c r="B448" s="115"/>
      <c r="C448" s="116"/>
      <c r="D448" s="117"/>
      <c r="E448" s="118"/>
      <c r="F448" s="119"/>
      <c r="G448" s="117"/>
      <c r="H448" s="117"/>
      <c r="I448" s="120"/>
      <c r="J448" s="120"/>
      <c r="K448" s="120"/>
      <c r="L448" s="117"/>
      <c r="M448" s="121"/>
      <c r="N448" s="122"/>
      <c r="O448" s="121"/>
      <c r="P448" s="122"/>
      <c r="Q448" s="123"/>
      <c r="R448" s="123"/>
      <c r="S448" s="123"/>
      <c r="T448" s="124"/>
      <c r="U448" s="123"/>
      <c r="V448" s="123"/>
      <c r="W448" s="123"/>
      <c r="X448" s="123"/>
      <c r="Y448" s="125" t="e">
        <f>VLOOKUP(#REF!,#REF!,18,FALSE)</f>
        <v>#REF!</v>
      </c>
      <c r="Z448" s="126"/>
      <c r="AA448" s="127"/>
      <c r="AB448" s="127"/>
    </row>
    <row r="449" spans="1:28">
      <c r="A449" s="117"/>
      <c r="B449" s="115"/>
      <c r="C449" s="116"/>
      <c r="D449" s="117"/>
      <c r="E449" s="118"/>
      <c r="F449" s="119"/>
      <c r="G449" s="117"/>
      <c r="H449" s="117"/>
      <c r="I449" s="120"/>
      <c r="J449" s="120"/>
      <c r="K449" s="120"/>
      <c r="L449" s="117"/>
      <c r="M449" s="121"/>
      <c r="N449" s="122"/>
      <c r="O449" s="121"/>
      <c r="P449" s="122"/>
      <c r="Q449" s="123"/>
      <c r="R449" s="123"/>
      <c r="S449" s="123"/>
      <c r="T449" s="124"/>
      <c r="U449" s="123"/>
      <c r="V449" s="123"/>
      <c r="W449" s="123"/>
      <c r="X449" s="123"/>
      <c r="Y449" s="125" t="e">
        <f>VLOOKUP(#REF!,#REF!,18,FALSE)</f>
        <v>#REF!</v>
      </c>
      <c r="Z449" s="126"/>
      <c r="AA449" s="127"/>
      <c r="AB449" s="127"/>
    </row>
    <row r="450" spans="1:28">
      <c r="A450" s="117"/>
      <c r="B450" s="115"/>
      <c r="C450" s="116"/>
      <c r="D450" s="117"/>
      <c r="E450" s="118"/>
      <c r="F450" s="119"/>
      <c r="G450" s="117"/>
      <c r="H450" s="117"/>
      <c r="I450" s="120"/>
      <c r="J450" s="120"/>
      <c r="K450" s="120"/>
      <c r="L450" s="117"/>
      <c r="M450" s="121"/>
      <c r="N450" s="122"/>
      <c r="O450" s="121"/>
      <c r="P450" s="122"/>
      <c r="Q450" s="123"/>
      <c r="R450" s="123"/>
      <c r="S450" s="123"/>
      <c r="T450" s="124"/>
      <c r="U450" s="123"/>
      <c r="V450" s="123"/>
      <c r="W450" s="123"/>
      <c r="X450" s="123"/>
      <c r="Y450" s="125" t="e">
        <f>VLOOKUP(#REF!,#REF!,18,FALSE)</f>
        <v>#REF!</v>
      </c>
      <c r="Z450" s="126"/>
      <c r="AA450" s="127"/>
      <c r="AB450" s="127"/>
    </row>
    <row r="451" spans="1:28">
      <c r="A451" s="117"/>
      <c r="B451" s="115"/>
      <c r="C451" s="116"/>
      <c r="D451" s="117"/>
      <c r="E451" s="118"/>
      <c r="F451" s="119"/>
      <c r="G451" s="117"/>
      <c r="H451" s="117"/>
      <c r="I451" s="120"/>
      <c r="J451" s="120"/>
      <c r="K451" s="120"/>
      <c r="L451" s="117"/>
      <c r="M451" s="121"/>
      <c r="N451" s="122"/>
      <c r="O451" s="121"/>
      <c r="P451" s="122"/>
      <c r="Q451" s="123"/>
      <c r="R451" s="123"/>
      <c r="S451" s="123"/>
      <c r="T451" s="124"/>
      <c r="U451" s="123"/>
      <c r="V451" s="123"/>
      <c r="W451" s="123"/>
      <c r="X451" s="123"/>
      <c r="Y451" s="125" t="e">
        <f>VLOOKUP(#REF!,#REF!,18,FALSE)</f>
        <v>#REF!</v>
      </c>
      <c r="Z451" s="126"/>
      <c r="AA451" s="127"/>
      <c r="AB451" s="127"/>
    </row>
    <row r="452" spans="1:28">
      <c r="A452" s="117"/>
      <c r="B452" s="115"/>
      <c r="C452" s="116"/>
      <c r="D452" s="117"/>
      <c r="E452" s="118"/>
      <c r="F452" s="119"/>
      <c r="G452" s="117"/>
      <c r="H452" s="117"/>
      <c r="I452" s="120"/>
      <c r="J452" s="120"/>
      <c r="K452" s="120"/>
      <c r="L452" s="117"/>
      <c r="M452" s="121"/>
      <c r="N452" s="122"/>
      <c r="O452" s="121"/>
      <c r="P452" s="122"/>
      <c r="Q452" s="123"/>
      <c r="R452" s="123"/>
      <c r="S452" s="123"/>
      <c r="T452" s="124"/>
      <c r="U452" s="123"/>
      <c r="V452" s="123"/>
      <c r="W452" s="123"/>
      <c r="X452" s="123"/>
      <c r="Y452" s="125" t="e">
        <f>VLOOKUP(#REF!,#REF!,18,FALSE)</f>
        <v>#REF!</v>
      </c>
      <c r="Z452" s="126"/>
      <c r="AA452" s="127"/>
      <c r="AB452" s="127"/>
    </row>
    <row r="453" spans="1:28">
      <c r="A453" s="117"/>
      <c r="B453" s="115"/>
      <c r="C453" s="116"/>
      <c r="D453" s="117"/>
      <c r="E453" s="118"/>
      <c r="F453" s="119"/>
      <c r="G453" s="117"/>
      <c r="H453" s="117"/>
      <c r="I453" s="120"/>
      <c r="J453" s="120"/>
      <c r="K453" s="120"/>
      <c r="L453" s="117"/>
      <c r="M453" s="121"/>
      <c r="N453" s="122"/>
      <c r="O453" s="121"/>
      <c r="P453" s="122"/>
      <c r="Q453" s="123"/>
      <c r="R453" s="123"/>
      <c r="S453" s="123"/>
      <c r="T453" s="124"/>
      <c r="U453" s="123"/>
      <c r="V453" s="123"/>
      <c r="W453" s="123"/>
      <c r="X453" s="123"/>
      <c r="Y453" s="125" t="e">
        <f>VLOOKUP(#REF!,#REF!,18,FALSE)</f>
        <v>#REF!</v>
      </c>
      <c r="Z453" s="126"/>
      <c r="AA453" s="127"/>
      <c r="AB453" s="127"/>
    </row>
    <row r="454" spans="1:28">
      <c r="A454" s="117"/>
      <c r="B454" s="115"/>
      <c r="C454" s="116"/>
      <c r="D454" s="117"/>
      <c r="E454" s="118"/>
      <c r="F454" s="119"/>
      <c r="G454" s="117"/>
      <c r="H454" s="117"/>
      <c r="I454" s="120"/>
      <c r="J454" s="120"/>
      <c r="K454" s="120"/>
      <c r="L454" s="117"/>
      <c r="M454" s="121"/>
      <c r="N454" s="122"/>
      <c r="O454" s="121"/>
      <c r="P454" s="122"/>
      <c r="Q454" s="123"/>
      <c r="R454" s="123"/>
      <c r="S454" s="123"/>
      <c r="T454" s="124"/>
      <c r="U454" s="123"/>
      <c r="V454" s="123"/>
      <c r="W454" s="123"/>
      <c r="X454" s="123"/>
      <c r="Y454" s="125" t="e">
        <f>VLOOKUP(#REF!,#REF!,18,FALSE)</f>
        <v>#REF!</v>
      </c>
      <c r="Z454" s="126"/>
      <c r="AA454" s="127"/>
      <c r="AB454" s="127"/>
    </row>
    <row r="455" spans="1:28">
      <c r="A455" s="117"/>
      <c r="B455" s="115"/>
      <c r="C455" s="116"/>
      <c r="D455" s="117"/>
      <c r="E455" s="118"/>
      <c r="F455" s="119"/>
      <c r="G455" s="117"/>
      <c r="H455" s="117"/>
      <c r="I455" s="120"/>
      <c r="J455" s="120"/>
      <c r="K455" s="120"/>
      <c r="L455" s="117"/>
      <c r="M455" s="121"/>
      <c r="N455" s="122"/>
      <c r="O455" s="121"/>
      <c r="P455" s="122"/>
      <c r="Q455" s="123"/>
      <c r="R455" s="123"/>
      <c r="S455" s="123"/>
      <c r="T455" s="124"/>
      <c r="U455" s="123"/>
      <c r="V455" s="123"/>
      <c r="W455" s="123"/>
      <c r="X455" s="123"/>
      <c r="Y455" s="125" t="e">
        <f>VLOOKUP(#REF!,#REF!,18,FALSE)</f>
        <v>#REF!</v>
      </c>
      <c r="Z455" s="126"/>
      <c r="AA455" s="127"/>
      <c r="AB455" s="127"/>
    </row>
    <row r="456" spans="1:28">
      <c r="A456" s="117"/>
      <c r="B456" s="115"/>
      <c r="C456" s="116"/>
      <c r="D456" s="117"/>
      <c r="E456" s="118"/>
      <c r="F456" s="119"/>
      <c r="G456" s="117"/>
      <c r="H456" s="117"/>
      <c r="I456" s="120"/>
      <c r="J456" s="120"/>
      <c r="K456" s="120"/>
      <c r="L456" s="117"/>
      <c r="M456" s="121"/>
      <c r="N456" s="122"/>
      <c r="O456" s="121"/>
      <c r="P456" s="122"/>
      <c r="Q456" s="123"/>
      <c r="R456" s="123"/>
      <c r="S456" s="123"/>
      <c r="T456" s="124"/>
      <c r="U456" s="123"/>
      <c r="V456" s="123"/>
      <c r="W456" s="123"/>
      <c r="X456" s="123"/>
      <c r="Y456" s="125" t="e">
        <f>VLOOKUP(#REF!,#REF!,18,FALSE)</f>
        <v>#REF!</v>
      </c>
      <c r="Z456" s="126"/>
      <c r="AA456" s="127"/>
      <c r="AB456" s="127"/>
    </row>
    <row r="457" spans="1:28">
      <c r="A457" s="117"/>
      <c r="B457" s="115"/>
      <c r="C457" s="116"/>
      <c r="D457" s="117"/>
      <c r="E457" s="118"/>
      <c r="F457" s="119"/>
      <c r="G457" s="117"/>
      <c r="H457" s="117"/>
      <c r="I457" s="120"/>
      <c r="J457" s="120"/>
      <c r="K457" s="120"/>
      <c r="L457" s="117"/>
      <c r="M457" s="121"/>
      <c r="N457" s="122"/>
      <c r="O457" s="121"/>
      <c r="P457" s="122"/>
      <c r="Q457" s="123"/>
      <c r="R457" s="123"/>
      <c r="S457" s="123"/>
      <c r="T457" s="124"/>
      <c r="U457" s="123"/>
      <c r="V457" s="123"/>
      <c r="W457" s="123"/>
      <c r="X457" s="123"/>
      <c r="Y457" s="125" t="e">
        <f>VLOOKUP(#REF!,#REF!,18,FALSE)</f>
        <v>#REF!</v>
      </c>
      <c r="Z457" s="126"/>
      <c r="AA457" s="127"/>
      <c r="AB457" s="127"/>
    </row>
    <row r="458" spans="1:28">
      <c r="A458" s="117"/>
      <c r="B458" s="115"/>
      <c r="C458" s="116"/>
      <c r="D458" s="117"/>
      <c r="E458" s="118"/>
      <c r="F458" s="119"/>
      <c r="G458" s="117"/>
      <c r="H458" s="117"/>
      <c r="I458" s="120"/>
      <c r="J458" s="120"/>
      <c r="K458" s="120"/>
      <c r="L458" s="117"/>
      <c r="M458" s="121"/>
      <c r="N458" s="122"/>
      <c r="O458" s="121"/>
      <c r="P458" s="122"/>
      <c r="Q458" s="123"/>
      <c r="R458" s="123"/>
      <c r="S458" s="123"/>
      <c r="T458" s="124"/>
      <c r="U458" s="123"/>
      <c r="V458" s="123"/>
      <c r="W458" s="123"/>
      <c r="X458" s="123"/>
      <c r="Y458" s="125" t="e">
        <f>VLOOKUP(#REF!,#REF!,18,FALSE)</f>
        <v>#REF!</v>
      </c>
      <c r="Z458" s="126"/>
      <c r="AA458" s="127"/>
      <c r="AB458" s="127"/>
    </row>
    <row r="459" spans="1:28">
      <c r="A459" s="117"/>
      <c r="B459" s="115"/>
      <c r="C459" s="116"/>
      <c r="D459" s="117"/>
      <c r="E459" s="118"/>
      <c r="F459" s="119"/>
      <c r="G459" s="117"/>
      <c r="H459" s="117"/>
      <c r="I459" s="120"/>
      <c r="J459" s="120"/>
      <c r="K459" s="120"/>
      <c r="L459" s="117"/>
      <c r="M459" s="121"/>
      <c r="N459" s="122"/>
      <c r="O459" s="121"/>
      <c r="P459" s="122"/>
      <c r="Q459" s="123"/>
      <c r="R459" s="123"/>
      <c r="S459" s="123"/>
      <c r="T459" s="124"/>
      <c r="U459" s="123"/>
      <c r="V459" s="123"/>
      <c r="W459" s="123"/>
      <c r="X459" s="123"/>
      <c r="Y459" s="125" t="e">
        <f>VLOOKUP(#REF!,#REF!,18,FALSE)</f>
        <v>#REF!</v>
      </c>
      <c r="Z459" s="126"/>
      <c r="AA459" s="127"/>
      <c r="AB459" s="127"/>
    </row>
    <row r="460" spans="1:28">
      <c r="A460" s="117"/>
      <c r="B460" s="115"/>
      <c r="C460" s="116"/>
      <c r="D460" s="117"/>
      <c r="E460" s="118"/>
      <c r="F460" s="119"/>
      <c r="G460" s="117"/>
      <c r="H460" s="117"/>
      <c r="I460" s="120"/>
      <c r="J460" s="120"/>
      <c r="K460" s="120"/>
      <c r="L460" s="117"/>
      <c r="M460" s="121"/>
      <c r="N460" s="122"/>
      <c r="O460" s="121"/>
      <c r="P460" s="122"/>
      <c r="Q460" s="123"/>
      <c r="R460" s="123"/>
      <c r="S460" s="123"/>
      <c r="T460" s="124"/>
      <c r="U460" s="123"/>
      <c r="V460" s="123"/>
      <c r="W460" s="123"/>
      <c r="X460" s="123"/>
      <c r="Y460" s="125" t="e">
        <f>VLOOKUP(#REF!,#REF!,18,FALSE)</f>
        <v>#REF!</v>
      </c>
      <c r="Z460" s="126"/>
      <c r="AA460" s="127"/>
      <c r="AB460" s="127"/>
    </row>
    <row r="461" spans="1:28">
      <c r="A461" s="117"/>
      <c r="B461" s="115"/>
      <c r="C461" s="116"/>
      <c r="D461" s="117"/>
      <c r="E461" s="118"/>
      <c r="F461" s="119"/>
      <c r="G461" s="117"/>
      <c r="H461" s="117"/>
      <c r="I461" s="120"/>
      <c r="J461" s="120"/>
      <c r="K461" s="120"/>
      <c r="L461" s="117"/>
      <c r="M461" s="121"/>
      <c r="N461" s="122"/>
      <c r="O461" s="121"/>
      <c r="P461" s="122"/>
      <c r="Q461" s="123"/>
      <c r="R461" s="123"/>
      <c r="S461" s="123"/>
      <c r="T461" s="124"/>
      <c r="U461" s="123"/>
      <c r="V461" s="123"/>
      <c r="W461" s="123"/>
      <c r="X461" s="123"/>
      <c r="Y461" s="125" t="e">
        <f>VLOOKUP(#REF!,#REF!,18,FALSE)</f>
        <v>#REF!</v>
      </c>
      <c r="Z461" s="126"/>
      <c r="AA461" s="127"/>
      <c r="AB461" s="127"/>
    </row>
    <row r="462" spans="1:28">
      <c r="A462" s="117"/>
      <c r="B462" s="115"/>
      <c r="C462" s="116"/>
      <c r="D462" s="117"/>
      <c r="E462" s="118"/>
      <c r="F462" s="119"/>
      <c r="G462" s="117"/>
      <c r="H462" s="117"/>
      <c r="I462" s="120"/>
      <c r="J462" s="120"/>
      <c r="K462" s="120"/>
      <c r="L462" s="117"/>
      <c r="M462" s="121"/>
      <c r="N462" s="122"/>
      <c r="O462" s="121"/>
      <c r="P462" s="122"/>
      <c r="Q462" s="123"/>
      <c r="R462" s="123"/>
      <c r="S462" s="123"/>
      <c r="T462" s="124"/>
      <c r="U462" s="123"/>
      <c r="V462" s="123"/>
      <c r="W462" s="123"/>
      <c r="X462" s="123"/>
      <c r="Y462" s="125" t="e">
        <f>VLOOKUP(#REF!,#REF!,18,FALSE)</f>
        <v>#REF!</v>
      </c>
      <c r="Z462" s="126"/>
      <c r="AA462" s="127"/>
      <c r="AB462" s="127"/>
    </row>
    <row r="463" spans="1:28">
      <c r="A463" s="117"/>
      <c r="B463" s="115"/>
      <c r="C463" s="116"/>
      <c r="D463" s="117"/>
      <c r="E463" s="118"/>
      <c r="F463" s="119"/>
      <c r="G463" s="117"/>
      <c r="H463" s="117"/>
      <c r="I463" s="120"/>
      <c r="J463" s="120"/>
      <c r="K463" s="120"/>
      <c r="L463" s="117"/>
      <c r="M463" s="121"/>
      <c r="N463" s="122"/>
      <c r="O463" s="121"/>
      <c r="P463" s="122"/>
      <c r="Q463" s="123"/>
      <c r="R463" s="123"/>
      <c r="S463" s="123"/>
      <c r="T463" s="124"/>
      <c r="U463" s="123"/>
      <c r="V463" s="123"/>
      <c r="W463" s="123"/>
      <c r="X463" s="123"/>
      <c r="Y463" s="125" t="e">
        <f>VLOOKUP(#REF!,#REF!,18,FALSE)</f>
        <v>#REF!</v>
      </c>
      <c r="Z463" s="126"/>
      <c r="AA463" s="127"/>
      <c r="AB463" s="127"/>
    </row>
    <row r="464" spans="1:28">
      <c r="A464" s="117"/>
      <c r="B464" s="115"/>
      <c r="C464" s="116"/>
      <c r="D464" s="117"/>
      <c r="E464" s="118"/>
      <c r="F464" s="119"/>
      <c r="G464" s="117"/>
      <c r="H464" s="117"/>
      <c r="I464" s="120"/>
      <c r="J464" s="120"/>
      <c r="K464" s="120"/>
      <c r="L464" s="117"/>
      <c r="M464" s="121"/>
      <c r="N464" s="122"/>
      <c r="O464" s="121"/>
      <c r="P464" s="122"/>
      <c r="Q464" s="123"/>
      <c r="R464" s="123"/>
      <c r="S464" s="123"/>
      <c r="T464" s="124"/>
      <c r="U464" s="123"/>
      <c r="V464" s="123"/>
      <c r="W464" s="123"/>
      <c r="X464" s="123"/>
      <c r="Y464" s="125" t="e">
        <f>VLOOKUP(#REF!,#REF!,18,FALSE)</f>
        <v>#REF!</v>
      </c>
      <c r="Z464" s="126"/>
      <c r="AA464" s="127"/>
      <c r="AB464" s="127"/>
    </row>
    <row r="465" spans="1:28">
      <c r="A465" s="117"/>
      <c r="B465" s="115"/>
      <c r="C465" s="116"/>
      <c r="D465" s="117"/>
      <c r="E465" s="118"/>
      <c r="F465" s="119"/>
      <c r="G465" s="117"/>
      <c r="H465" s="117"/>
      <c r="I465" s="120"/>
      <c r="J465" s="120"/>
      <c r="K465" s="120"/>
      <c r="L465" s="117"/>
      <c r="M465" s="121"/>
      <c r="N465" s="122"/>
      <c r="O465" s="121"/>
      <c r="P465" s="122"/>
      <c r="Q465" s="123"/>
      <c r="R465" s="123"/>
      <c r="S465" s="123"/>
      <c r="T465" s="124"/>
      <c r="U465" s="123"/>
      <c r="V465" s="123"/>
      <c r="W465" s="123"/>
      <c r="X465" s="123"/>
      <c r="Y465" s="125" t="e">
        <f>VLOOKUP(#REF!,#REF!,18,FALSE)</f>
        <v>#REF!</v>
      </c>
      <c r="Z465" s="126"/>
      <c r="AA465" s="127"/>
      <c r="AB465" s="127"/>
    </row>
    <row r="466" spans="1:28">
      <c r="A466" s="117"/>
      <c r="B466" s="115"/>
      <c r="C466" s="116"/>
      <c r="D466" s="117"/>
      <c r="E466" s="118"/>
      <c r="F466" s="119"/>
      <c r="G466" s="117"/>
      <c r="H466" s="117"/>
      <c r="I466" s="120"/>
      <c r="J466" s="120"/>
      <c r="K466" s="120"/>
      <c r="L466" s="117"/>
      <c r="M466" s="121"/>
      <c r="N466" s="122"/>
      <c r="O466" s="121"/>
      <c r="P466" s="122"/>
      <c r="Q466" s="123"/>
      <c r="R466" s="123"/>
      <c r="S466" s="123"/>
      <c r="T466" s="124"/>
      <c r="U466" s="123"/>
      <c r="V466" s="123"/>
      <c r="W466" s="123"/>
      <c r="X466" s="123"/>
      <c r="Y466" s="125" t="e">
        <f>VLOOKUP(#REF!,#REF!,18,FALSE)</f>
        <v>#REF!</v>
      </c>
      <c r="Z466" s="126"/>
      <c r="AA466" s="127"/>
      <c r="AB466" s="127"/>
    </row>
    <row r="467" spans="1:28">
      <c r="A467" s="117"/>
      <c r="B467" s="115"/>
      <c r="C467" s="116"/>
      <c r="D467" s="117"/>
      <c r="E467" s="118"/>
      <c r="F467" s="119"/>
      <c r="G467" s="117"/>
      <c r="H467" s="117"/>
      <c r="I467" s="120"/>
      <c r="J467" s="120"/>
      <c r="K467" s="120"/>
      <c r="L467" s="117"/>
      <c r="M467" s="121"/>
      <c r="N467" s="122"/>
      <c r="O467" s="121"/>
      <c r="P467" s="122"/>
      <c r="Q467" s="123"/>
      <c r="R467" s="123"/>
      <c r="S467" s="123"/>
      <c r="T467" s="124"/>
      <c r="U467" s="123"/>
      <c r="V467" s="123"/>
      <c r="W467" s="123"/>
      <c r="X467" s="123"/>
      <c r="Y467" s="125" t="e">
        <f>VLOOKUP(#REF!,#REF!,18,FALSE)</f>
        <v>#REF!</v>
      </c>
      <c r="Z467" s="126"/>
      <c r="AA467" s="127"/>
      <c r="AB467" s="127"/>
    </row>
    <row r="468" spans="1:28">
      <c r="A468" s="117"/>
      <c r="B468" s="115"/>
      <c r="C468" s="116"/>
      <c r="D468" s="117"/>
      <c r="E468" s="118"/>
      <c r="F468" s="119"/>
      <c r="G468" s="117"/>
      <c r="H468" s="117"/>
      <c r="I468" s="120"/>
      <c r="J468" s="120"/>
      <c r="K468" s="120"/>
      <c r="L468" s="117"/>
      <c r="M468" s="121"/>
      <c r="N468" s="122"/>
      <c r="O468" s="121"/>
      <c r="P468" s="122"/>
      <c r="Q468" s="123"/>
      <c r="R468" s="123"/>
      <c r="S468" s="123"/>
      <c r="T468" s="124"/>
      <c r="U468" s="123"/>
      <c r="V468" s="123"/>
      <c r="W468" s="123"/>
      <c r="X468" s="123"/>
      <c r="Y468" s="125" t="e">
        <f>VLOOKUP(#REF!,#REF!,18,FALSE)</f>
        <v>#REF!</v>
      </c>
      <c r="Z468" s="126"/>
      <c r="AA468" s="127"/>
      <c r="AB468" s="127"/>
    </row>
    <row r="469" spans="1:28">
      <c r="A469" s="117"/>
      <c r="B469" s="115"/>
      <c r="C469" s="116"/>
      <c r="D469" s="117"/>
      <c r="E469" s="118"/>
      <c r="F469" s="119"/>
      <c r="G469" s="117"/>
      <c r="H469" s="117"/>
      <c r="I469" s="120"/>
      <c r="J469" s="120"/>
      <c r="K469" s="120"/>
      <c r="L469" s="117"/>
      <c r="M469" s="121"/>
      <c r="N469" s="122"/>
      <c r="O469" s="121"/>
      <c r="P469" s="122"/>
      <c r="Q469" s="123"/>
      <c r="R469" s="123"/>
      <c r="S469" s="123"/>
      <c r="T469" s="124"/>
      <c r="U469" s="123"/>
      <c r="V469" s="123"/>
      <c r="W469" s="123"/>
      <c r="X469" s="123"/>
      <c r="Y469" s="125" t="e">
        <f>VLOOKUP(#REF!,#REF!,18,FALSE)</f>
        <v>#REF!</v>
      </c>
      <c r="Z469" s="126"/>
      <c r="AA469" s="127"/>
      <c r="AB469" s="127"/>
    </row>
    <row r="470" spans="1:28">
      <c r="A470" s="117"/>
      <c r="B470" s="115"/>
      <c r="C470" s="116"/>
      <c r="D470" s="117"/>
      <c r="E470" s="118"/>
      <c r="F470" s="119"/>
      <c r="G470" s="117"/>
      <c r="H470" s="117"/>
      <c r="I470" s="120"/>
      <c r="J470" s="120"/>
      <c r="K470" s="120"/>
      <c r="L470" s="117"/>
      <c r="M470" s="121"/>
      <c r="N470" s="122"/>
      <c r="O470" s="121"/>
      <c r="P470" s="122"/>
      <c r="Q470" s="123"/>
      <c r="R470" s="123"/>
      <c r="S470" s="123"/>
      <c r="T470" s="124"/>
      <c r="U470" s="123"/>
      <c r="V470" s="123"/>
      <c r="W470" s="123"/>
      <c r="X470" s="123"/>
      <c r="Y470" s="125" t="e">
        <f>VLOOKUP(#REF!,#REF!,18,FALSE)</f>
        <v>#REF!</v>
      </c>
      <c r="Z470" s="126"/>
      <c r="AA470" s="127"/>
      <c r="AB470" s="127"/>
    </row>
    <row r="471" spans="1:28">
      <c r="A471" s="117"/>
      <c r="B471" s="115"/>
      <c r="C471" s="116"/>
      <c r="D471" s="117"/>
      <c r="E471" s="118"/>
      <c r="F471" s="119"/>
      <c r="G471" s="117"/>
      <c r="H471" s="117"/>
      <c r="I471" s="120"/>
      <c r="J471" s="120"/>
      <c r="K471" s="120"/>
      <c r="L471" s="117"/>
      <c r="M471" s="121"/>
      <c r="N471" s="122"/>
      <c r="O471" s="121"/>
      <c r="P471" s="122"/>
      <c r="Q471" s="123"/>
      <c r="R471" s="123"/>
      <c r="S471" s="123"/>
      <c r="T471" s="124"/>
      <c r="U471" s="123"/>
      <c r="V471" s="123"/>
      <c r="W471" s="123"/>
      <c r="X471" s="123"/>
      <c r="Y471" s="125" t="e">
        <f>VLOOKUP(#REF!,#REF!,18,FALSE)</f>
        <v>#REF!</v>
      </c>
      <c r="Z471" s="126"/>
      <c r="AA471" s="127"/>
      <c r="AB471" s="127"/>
    </row>
    <row r="472" spans="1:28">
      <c r="A472" s="117"/>
      <c r="B472" s="115"/>
      <c r="C472" s="116"/>
      <c r="D472" s="117"/>
      <c r="E472" s="118"/>
      <c r="F472" s="119"/>
      <c r="G472" s="117"/>
      <c r="H472" s="117"/>
      <c r="I472" s="120"/>
      <c r="J472" s="120"/>
      <c r="K472" s="120"/>
      <c r="L472" s="117"/>
      <c r="M472" s="121"/>
      <c r="N472" s="122"/>
      <c r="O472" s="121"/>
      <c r="P472" s="122"/>
      <c r="Q472" s="123"/>
      <c r="R472" s="123"/>
      <c r="S472" s="123"/>
      <c r="T472" s="124"/>
      <c r="U472" s="123"/>
      <c r="V472" s="123"/>
      <c r="W472" s="123"/>
      <c r="X472" s="123"/>
      <c r="Y472" s="125" t="e">
        <f>VLOOKUP(#REF!,#REF!,18,FALSE)</f>
        <v>#REF!</v>
      </c>
      <c r="Z472" s="126"/>
      <c r="AA472" s="127"/>
      <c r="AB472" s="127"/>
    </row>
    <row r="473" spans="1:28">
      <c r="A473" s="117"/>
      <c r="B473" s="115"/>
      <c r="C473" s="116"/>
      <c r="D473" s="117"/>
      <c r="E473" s="118"/>
      <c r="F473" s="119"/>
      <c r="G473" s="117"/>
      <c r="H473" s="117"/>
      <c r="I473" s="120"/>
      <c r="J473" s="120"/>
      <c r="K473" s="120"/>
      <c r="L473" s="117"/>
      <c r="M473" s="121"/>
      <c r="N473" s="122"/>
      <c r="O473" s="121"/>
      <c r="P473" s="122"/>
      <c r="Q473" s="123"/>
      <c r="R473" s="123"/>
      <c r="S473" s="123"/>
      <c r="T473" s="124"/>
      <c r="U473" s="123"/>
      <c r="V473" s="123"/>
      <c r="W473" s="123"/>
      <c r="X473" s="123"/>
      <c r="Y473" s="125" t="e">
        <f>VLOOKUP(#REF!,#REF!,18,FALSE)</f>
        <v>#REF!</v>
      </c>
      <c r="Z473" s="126"/>
      <c r="AA473" s="127"/>
      <c r="AB473" s="127"/>
    </row>
    <row r="474" spans="1:28">
      <c r="A474" s="117"/>
      <c r="B474" s="115"/>
      <c r="C474" s="116"/>
      <c r="D474" s="117"/>
      <c r="E474" s="118"/>
      <c r="F474" s="119"/>
      <c r="G474" s="117"/>
      <c r="H474" s="117"/>
      <c r="I474" s="120"/>
      <c r="J474" s="120"/>
      <c r="K474" s="120"/>
      <c r="L474" s="117"/>
      <c r="M474" s="121"/>
      <c r="N474" s="122"/>
      <c r="O474" s="121"/>
      <c r="P474" s="122"/>
      <c r="Q474" s="123"/>
      <c r="R474" s="123"/>
      <c r="S474" s="123"/>
      <c r="T474" s="124"/>
      <c r="U474" s="123"/>
      <c r="V474" s="123"/>
      <c r="W474" s="123"/>
      <c r="X474" s="123"/>
      <c r="Y474" s="125" t="e">
        <f>VLOOKUP(#REF!,#REF!,18,FALSE)</f>
        <v>#REF!</v>
      </c>
      <c r="Z474" s="126"/>
      <c r="AA474" s="127"/>
      <c r="AB474" s="127"/>
    </row>
    <row r="475" spans="1:28">
      <c r="A475" s="117"/>
      <c r="B475" s="115"/>
      <c r="C475" s="116"/>
      <c r="D475" s="117"/>
      <c r="E475" s="118"/>
      <c r="F475" s="119"/>
      <c r="G475" s="117"/>
      <c r="H475" s="117"/>
      <c r="I475" s="120"/>
      <c r="J475" s="120"/>
      <c r="K475" s="120"/>
      <c r="L475" s="117"/>
      <c r="M475" s="121"/>
      <c r="N475" s="122"/>
      <c r="O475" s="121"/>
      <c r="P475" s="122"/>
      <c r="Q475" s="123"/>
      <c r="R475" s="123"/>
      <c r="S475" s="123"/>
      <c r="T475" s="124"/>
      <c r="U475" s="123"/>
      <c r="V475" s="123"/>
      <c r="W475" s="123"/>
      <c r="X475" s="123"/>
      <c r="Y475" s="125" t="e">
        <f>VLOOKUP(#REF!,#REF!,18,FALSE)</f>
        <v>#REF!</v>
      </c>
      <c r="Z475" s="126"/>
      <c r="AA475" s="127"/>
      <c r="AB475" s="127"/>
    </row>
    <row r="476" spans="1:28">
      <c r="A476" s="117"/>
      <c r="B476" s="115"/>
      <c r="C476" s="116"/>
      <c r="D476" s="117"/>
      <c r="E476" s="118"/>
      <c r="F476" s="119"/>
      <c r="G476" s="117"/>
      <c r="H476" s="117"/>
      <c r="I476" s="120"/>
      <c r="J476" s="120"/>
      <c r="K476" s="120"/>
      <c r="L476" s="117"/>
      <c r="M476" s="121"/>
      <c r="N476" s="122"/>
      <c r="O476" s="121"/>
      <c r="P476" s="122"/>
      <c r="Q476" s="123"/>
      <c r="R476" s="123"/>
      <c r="S476" s="123"/>
      <c r="T476" s="124"/>
      <c r="U476" s="123"/>
      <c r="V476" s="123"/>
      <c r="W476" s="123"/>
      <c r="X476" s="123"/>
      <c r="Y476" s="125" t="e">
        <f>VLOOKUP(#REF!,#REF!,18,FALSE)</f>
        <v>#REF!</v>
      </c>
      <c r="Z476" s="126"/>
      <c r="AA476" s="127"/>
      <c r="AB476" s="127"/>
    </row>
    <row r="477" spans="1:28">
      <c r="A477" s="117"/>
      <c r="B477" s="115"/>
      <c r="C477" s="116"/>
      <c r="D477" s="117"/>
      <c r="E477" s="118"/>
      <c r="F477" s="119"/>
      <c r="G477" s="117"/>
      <c r="H477" s="117"/>
      <c r="I477" s="120"/>
      <c r="J477" s="120"/>
      <c r="K477" s="120"/>
      <c r="L477" s="117"/>
      <c r="M477" s="121"/>
      <c r="N477" s="122"/>
      <c r="O477" s="121"/>
      <c r="P477" s="122"/>
      <c r="Q477" s="123"/>
      <c r="R477" s="123"/>
      <c r="S477" s="123"/>
      <c r="T477" s="124"/>
      <c r="U477" s="123"/>
      <c r="V477" s="123"/>
      <c r="W477" s="123"/>
      <c r="X477" s="123"/>
      <c r="Y477" s="125" t="e">
        <f>VLOOKUP(#REF!,#REF!,18,FALSE)</f>
        <v>#REF!</v>
      </c>
      <c r="Z477" s="126"/>
      <c r="AA477" s="127"/>
      <c r="AB477" s="127"/>
    </row>
    <row r="478" spans="1:28">
      <c r="A478" s="117"/>
      <c r="B478" s="115"/>
      <c r="C478" s="116"/>
      <c r="D478" s="117"/>
      <c r="E478" s="118"/>
      <c r="F478" s="119"/>
      <c r="G478" s="117"/>
      <c r="H478" s="117"/>
      <c r="I478" s="120"/>
      <c r="J478" s="120"/>
      <c r="K478" s="120"/>
      <c r="L478" s="117"/>
      <c r="M478" s="121"/>
      <c r="N478" s="122"/>
      <c r="O478" s="121"/>
      <c r="P478" s="122"/>
      <c r="Q478" s="123"/>
      <c r="R478" s="123"/>
      <c r="S478" s="123"/>
      <c r="T478" s="124"/>
      <c r="U478" s="123"/>
      <c r="V478" s="123"/>
      <c r="W478" s="123"/>
      <c r="X478" s="123"/>
      <c r="Y478" s="125" t="e">
        <f>VLOOKUP(#REF!,#REF!,18,FALSE)</f>
        <v>#REF!</v>
      </c>
      <c r="Z478" s="126"/>
      <c r="AA478" s="127"/>
      <c r="AB478" s="127"/>
    </row>
    <row r="479" spans="1:28">
      <c r="A479" s="117"/>
      <c r="B479" s="115"/>
      <c r="C479" s="116"/>
      <c r="D479" s="117"/>
      <c r="E479" s="118"/>
      <c r="F479" s="119"/>
      <c r="G479" s="117"/>
      <c r="H479" s="117"/>
      <c r="I479" s="120"/>
      <c r="J479" s="120"/>
      <c r="K479" s="120"/>
      <c r="L479" s="117"/>
      <c r="M479" s="121"/>
      <c r="N479" s="122"/>
      <c r="O479" s="121"/>
      <c r="P479" s="122"/>
      <c r="Q479" s="123"/>
      <c r="R479" s="123"/>
      <c r="S479" s="123"/>
      <c r="T479" s="124"/>
      <c r="U479" s="123"/>
      <c r="V479" s="123"/>
      <c r="W479" s="123"/>
      <c r="X479" s="123"/>
      <c r="Y479" s="125" t="e">
        <f>VLOOKUP(#REF!,#REF!,18,FALSE)</f>
        <v>#REF!</v>
      </c>
      <c r="Z479" s="126"/>
      <c r="AA479" s="127"/>
      <c r="AB479" s="127"/>
    </row>
    <row r="480" spans="1:28">
      <c r="A480" s="117"/>
      <c r="B480" s="115"/>
      <c r="C480" s="116"/>
      <c r="D480" s="117"/>
      <c r="E480" s="118"/>
      <c r="F480" s="119"/>
      <c r="G480" s="117"/>
      <c r="H480" s="117"/>
      <c r="I480" s="120"/>
      <c r="J480" s="120"/>
      <c r="K480" s="120"/>
      <c r="L480" s="117"/>
      <c r="M480" s="121"/>
      <c r="N480" s="122"/>
      <c r="O480" s="121"/>
      <c r="P480" s="122"/>
      <c r="Q480" s="123"/>
      <c r="R480" s="123"/>
      <c r="S480" s="123"/>
      <c r="T480" s="124"/>
      <c r="U480" s="123"/>
      <c r="V480" s="123"/>
      <c r="W480" s="123"/>
      <c r="X480" s="123"/>
      <c r="Y480" s="125" t="e">
        <f>VLOOKUP(#REF!,#REF!,18,FALSE)</f>
        <v>#REF!</v>
      </c>
      <c r="Z480" s="126"/>
      <c r="AA480" s="127"/>
      <c r="AB480" s="127"/>
    </row>
    <row r="481" spans="1:28">
      <c r="A481" s="117"/>
      <c r="B481" s="115"/>
      <c r="C481" s="116"/>
      <c r="D481" s="117"/>
      <c r="E481" s="118"/>
      <c r="F481" s="119"/>
      <c r="G481" s="117"/>
      <c r="H481" s="117"/>
      <c r="I481" s="120"/>
      <c r="J481" s="120"/>
      <c r="K481" s="120"/>
      <c r="L481" s="117"/>
      <c r="M481" s="121"/>
      <c r="N481" s="122"/>
      <c r="O481" s="121"/>
      <c r="P481" s="122"/>
      <c r="Q481" s="123"/>
      <c r="R481" s="123"/>
      <c r="S481" s="123"/>
      <c r="T481" s="124"/>
      <c r="U481" s="123"/>
      <c r="V481" s="123"/>
      <c r="W481" s="123"/>
      <c r="X481" s="123"/>
      <c r="Y481" s="125" t="e">
        <f>VLOOKUP(#REF!,#REF!,18,FALSE)</f>
        <v>#REF!</v>
      </c>
      <c r="Z481" s="126"/>
      <c r="AA481" s="127"/>
      <c r="AB481" s="127"/>
    </row>
    <row r="482" spans="1:28">
      <c r="A482" s="117"/>
      <c r="B482" s="115"/>
      <c r="C482" s="116"/>
      <c r="D482" s="117"/>
      <c r="E482" s="118"/>
      <c r="F482" s="119"/>
      <c r="G482" s="117"/>
      <c r="H482" s="117"/>
      <c r="I482" s="120"/>
      <c r="J482" s="120"/>
      <c r="K482" s="120"/>
      <c r="L482" s="117"/>
      <c r="M482" s="121"/>
      <c r="N482" s="122"/>
      <c r="O482" s="121"/>
      <c r="P482" s="122"/>
      <c r="Q482" s="123"/>
      <c r="R482" s="123"/>
      <c r="S482" s="123"/>
      <c r="T482" s="124"/>
      <c r="U482" s="123"/>
      <c r="V482" s="123"/>
      <c r="W482" s="123"/>
      <c r="X482" s="123"/>
      <c r="Y482" s="125" t="e">
        <f>VLOOKUP(#REF!,#REF!,18,FALSE)</f>
        <v>#REF!</v>
      </c>
      <c r="Z482" s="126"/>
      <c r="AA482" s="127"/>
      <c r="AB482" s="127"/>
    </row>
    <row r="483" spans="1:28">
      <c r="A483" s="117"/>
      <c r="B483" s="115"/>
      <c r="C483" s="116"/>
      <c r="D483" s="117"/>
      <c r="E483" s="118"/>
      <c r="F483" s="119"/>
      <c r="G483" s="117"/>
      <c r="H483" s="117"/>
      <c r="I483" s="120"/>
      <c r="J483" s="120"/>
      <c r="K483" s="120"/>
      <c r="L483" s="117"/>
      <c r="M483" s="121"/>
      <c r="N483" s="122"/>
      <c r="O483" s="121"/>
      <c r="P483" s="122"/>
      <c r="Q483" s="123"/>
      <c r="R483" s="123"/>
      <c r="S483" s="123"/>
      <c r="T483" s="124"/>
      <c r="U483" s="123"/>
      <c r="V483" s="123"/>
      <c r="W483" s="123"/>
      <c r="X483" s="123"/>
      <c r="Y483" s="125" t="e">
        <f>VLOOKUP(#REF!,#REF!,18,FALSE)</f>
        <v>#REF!</v>
      </c>
      <c r="Z483" s="126"/>
      <c r="AA483" s="127"/>
      <c r="AB483" s="127"/>
    </row>
    <row r="484" spans="1:28">
      <c r="A484" s="117"/>
      <c r="B484" s="115"/>
      <c r="C484" s="116"/>
      <c r="D484" s="117"/>
      <c r="E484" s="118"/>
      <c r="F484" s="119"/>
      <c r="G484" s="117"/>
      <c r="H484" s="117"/>
      <c r="I484" s="120"/>
      <c r="J484" s="120"/>
      <c r="K484" s="120"/>
      <c r="L484" s="117"/>
      <c r="M484" s="121"/>
      <c r="N484" s="122"/>
      <c r="O484" s="121"/>
      <c r="P484" s="122"/>
      <c r="Q484" s="123"/>
      <c r="R484" s="123"/>
      <c r="S484" s="123"/>
      <c r="T484" s="124"/>
      <c r="U484" s="123"/>
      <c r="V484" s="123"/>
      <c r="W484" s="123"/>
      <c r="X484" s="123"/>
      <c r="Y484" s="125" t="e">
        <f>VLOOKUP(#REF!,#REF!,18,FALSE)</f>
        <v>#REF!</v>
      </c>
      <c r="Z484" s="126"/>
      <c r="AA484" s="127"/>
      <c r="AB484" s="127"/>
    </row>
    <row r="485" spans="1:28">
      <c r="A485" s="117"/>
      <c r="B485" s="115"/>
      <c r="C485" s="116"/>
      <c r="D485" s="117"/>
      <c r="E485" s="118"/>
      <c r="F485" s="119"/>
      <c r="G485" s="117"/>
      <c r="H485" s="117"/>
      <c r="I485" s="120"/>
      <c r="J485" s="120"/>
      <c r="K485" s="120"/>
      <c r="L485" s="117"/>
      <c r="M485" s="121"/>
      <c r="N485" s="122"/>
      <c r="O485" s="121"/>
      <c r="P485" s="122"/>
      <c r="Q485" s="123"/>
      <c r="R485" s="123"/>
      <c r="S485" s="123"/>
      <c r="T485" s="124"/>
      <c r="U485" s="123"/>
      <c r="V485" s="123"/>
      <c r="W485" s="123"/>
      <c r="X485" s="123"/>
      <c r="Y485" s="125" t="e">
        <f>VLOOKUP(#REF!,#REF!,18,FALSE)</f>
        <v>#REF!</v>
      </c>
      <c r="Z485" s="126"/>
      <c r="AA485" s="127"/>
      <c r="AB485" s="127"/>
    </row>
    <row r="486" spans="1:28">
      <c r="A486" s="117"/>
      <c r="B486" s="115"/>
      <c r="C486" s="116"/>
      <c r="D486" s="117"/>
      <c r="E486" s="118"/>
      <c r="F486" s="119"/>
      <c r="G486" s="117"/>
      <c r="H486" s="117"/>
      <c r="I486" s="120"/>
      <c r="J486" s="120"/>
      <c r="K486" s="120"/>
      <c r="L486" s="117"/>
      <c r="M486" s="121"/>
      <c r="N486" s="122"/>
      <c r="O486" s="121"/>
      <c r="P486" s="122"/>
      <c r="Q486" s="123"/>
      <c r="R486" s="123"/>
      <c r="S486" s="123"/>
      <c r="T486" s="124"/>
      <c r="U486" s="123"/>
      <c r="V486" s="123"/>
      <c r="W486" s="123"/>
      <c r="X486" s="123"/>
      <c r="Y486" s="125" t="e">
        <f>VLOOKUP(#REF!,#REF!,18,FALSE)</f>
        <v>#REF!</v>
      </c>
      <c r="Z486" s="126"/>
      <c r="AA486" s="127"/>
      <c r="AB486" s="127"/>
    </row>
    <row r="487" spans="1:28">
      <c r="A487" s="117"/>
      <c r="B487" s="115"/>
      <c r="C487" s="116"/>
      <c r="D487" s="117"/>
      <c r="E487" s="118"/>
      <c r="F487" s="119"/>
      <c r="G487" s="117"/>
      <c r="H487" s="117"/>
      <c r="I487" s="120"/>
      <c r="J487" s="120"/>
      <c r="K487" s="120"/>
      <c r="L487" s="117"/>
      <c r="M487" s="121"/>
      <c r="N487" s="122"/>
      <c r="O487" s="121"/>
      <c r="P487" s="122"/>
      <c r="Q487" s="123"/>
      <c r="R487" s="123"/>
      <c r="S487" s="123"/>
      <c r="T487" s="124"/>
      <c r="U487" s="123"/>
      <c r="V487" s="123"/>
      <c r="W487" s="123"/>
      <c r="X487" s="123"/>
      <c r="Y487" s="125" t="e">
        <f>VLOOKUP(#REF!,#REF!,18,FALSE)</f>
        <v>#REF!</v>
      </c>
      <c r="Z487" s="126"/>
      <c r="AA487" s="127"/>
      <c r="AB487" s="127"/>
    </row>
    <row r="488" spans="1:28">
      <c r="A488" s="117"/>
      <c r="B488" s="115"/>
      <c r="C488" s="116"/>
      <c r="D488" s="117"/>
      <c r="E488" s="118"/>
      <c r="F488" s="119"/>
      <c r="G488" s="117"/>
      <c r="H488" s="117"/>
      <c r="I488" s="120"/>
      <c r="J488" s="120"/>
      <c r="K488" s="120"/>
      <c r="L488" s="117"/>
      <c r="M488" s="121"/>
      <c r="N488" s="122"/>
      <c r="O488" s="121"/>
      <c r="P488" s="122"/>
      <c r="Q488" s="123"/>
      <c r="R488" s="123"/>
      <c r="S488" s="123"/>
      <c r="T488" s="124"/>
      <c r="U488" s="123"/>
      <c r="V488" s="123"/>
      <c r="W488" s="123"/>
      <c r="X488" s="123"/>
      <c r="Y488" s="125" t="e">
        <f>VLOOKUP(#REF!,#REF!,18,FALSE)</f>
        <v>#REF!</v>
      </c>
      <c r="Z488" s="126"/>
      <c r="AA488" s="127"/>
      <c r="AB488" s="127"/>
    </row>
    <row r="489" spans="1:28">
      <c r="A489" s="117"/>
      <c r="B489" s="115"/>
      <c r="C489" s="116"/>
      <c r="D489" s="117"/>
      <c r="E489" s="118"/>
      <c r="F489" s="119"/>
      <c r="G489" s="117"/>
      <c r="H489" s="117"/>
      <c r="I489" s="120"/>
      <c r="J489" s="120"/>
      <c r="K489" s="120"/>
      <c r="L489" s="117"/>
      <c r="M489" s="121"/>
      <c r="N489" s="122"/>
      <c r="O489" s="121"/>
      <c r="P489" s="122"/>
      <c r="Q489" s="123"/>
      <c r="R489" s="123"/>
      <c r="S489" s="123"/>
      <c r="T489" s="124"/>
      <c r="U489" s="123"/>
      <c r="V489" s="123"/>
      <c r="W489" s="123"/>
      <c r="X489" s="123"/>
      <c r="Y489" s="125" t="e">
        <f>VLOOKUP(#REF!,#REF!,18,FALSE)</f>
        <v>#REF!</v>
      </c>
      <c r="Z489" s="126"/>
      <c r="AA489" s="127"/>
      <c r="AB489" s="127"/>
    </row>
    <row r="490" spans="1:28">
      <c r="A490" s="117"/>
      <c r="B490" s="115"/>
      <c r="C490" s="116"/>
      <c r="D490" s="117"/>
      <c r="E490" s="118"/>
      <c r="F490" s="119"/>
      <c r="G490" s="117"/>
      <c r="H490" s="117"/>
      <c r="I490" s="120"/>
      <c r="J490" s="120"/>
      <c r="K490" s="120"/>
      <c r="L490" s="117"/>
      <c r="M490" s="121"/>
      <c r="N490" s="122"/>
      <c r="O490" s="121"/>
      <c r="P490" s="122"/>
      <c r="Q490" s="123"/>
      <c r="R490" s="123"/>
      <c r="S490" s="123"/>
      <c r="T490" s="124"/>
      <c r="U490" s="123"/>
      <c r="V490" s="123"/>
      <c r="W490" s="123"/>
      <c r="X490" s="123"/>
      <c r="Y490" s="125" t="e">
        <f>VLOOKUP(#REF!,#REF!,18,FALSE)</f>
        <v>#REF!</v>
      </c>
      <c r="Z490" s="126"/>
      <c r="AA490" s="127"/>
      <c r="AB490" s="127"/>
    </row>
    <row r="491" spans="1:28">
      <c r="A491" s="117"/>
      <c r="B491" s="115"/>
      <c r="C491" s="116"/>
      <c r="D491" s="117"/>
      <c r="E491" s="118"/>
      <c r="F491" s="119"/>
      <c r="G491" s="117"/>
      <c r="H491" s="117"/>
      <c r="I491" s="120"/>
      <c r="J491" s="120"/>
      <c r="K491" s="120"/>
      <c r="L491" s="117"/>
      <c r="M491" s="121"/>
      <c r="N491" s="122"/>
      <c r="O491" s="121"/>
      <c r="P491" s="122"/>
      <c r="Q491" s="123"/>
      <c r="R491" s="123"/>
      <c r="S491" s="123"/>
      <c r="T491" s="124"/>
      <c r="U491" s="123"/>
      <c r="V491" s="123"/>
      <c r="W491" s="123"/>
      <c r="X491" s="123"/>
      <c r="Y491" s="125" t="e">
        <f>VLOOKUP(#REF!,#REF!,18,FALSE)</f>
        <v>#REF!</v>
      </c>
      <c r="Z491" s="126"/>
      <c r="AA491" s="127"/>
      <c r="AB491" s="127"/>
    </row>
    <row r="492" spans="1:28">
      <c r="A492" s="117"/>
      <c r="B492" s="115"/>
      <c r="C492" s="116"/>
      <c r="D492" s="117"/>
      <c r="E492" s="118"/>
      <c r="F492" s="119"/>
      <c r="G492" s="117"/>
      <c r="H492" s="117"/>
      <c r="I492" s="120"/>
      <c r="J492" s="120"/>
      <c r="K492" s="120"/>
      <c r="L492" s="117"/>
      <c r="M492" s="121"/>
      <c r="N492" s="122"/>
      <c r="O492" s="121"/>
      <c r="P492" s="122"/>
      <c r="Q492" s="123"/>
      <c r="R492" s="123"/>
      <c r="S492" s="123"/>
      <c r="T492" s="124"/>
      <c r="U492" s="123"/>
      <c r="V492" s="123"/>
      <c r="W492" s="123"/>
      <c r="X492" s="123"/>
      <c r="Y492" s="125" t="e">
        <f>VLOOKUP(#REF!,#REF!,18,FALSE)</f>
        <v>#REF!</v>
      </c>
      <c r="Z492" s="126"/>
      <c r="AA492" s="127"/>
      <c r="AB492" s="127"/>
    </row>
    <row r="493" spans="1:28">
      <c r="A493" s="117"/>
      <c r="B493" s="115"/>
      <c r="C493" s="116"/>
      <c r="D493" s="117"/>
      <c r="E493" s="118"/>
      <c r="F493" s="119"/>
      <c r="G493" s="117"/>
      <c r="H493" s="117"/>
      <c r="I493" s="120"/>
      <c r="J493" s="120"/>
      <c r="K493" s="120"/>
      <c r="L493" s="117"/>
      <c r="M493" s="121"/>
      <c r="N493" s="122"/>
      <c r="O493" s="121"/>
      <c r="P493" s="122"/>
      <c r="Q493" s="123"/>
      <c r="R493" s="123"/>
      <c r="S493" s="123"/>
      <c r="T493" s="124"/>
      <c r="U493" s="123"/>
      <c r="V493" s="123"/>
      <c r="W493" s="123"/>
      <c r="X493" s="123"/>
      <c r="Y493" s="125" t="e">
        <f>VLOOKUP(#REF!,#REF!,18,FALSE)</f>
        <v>#REF!</v>
      </c>
      <c r="Z493" s="126"/>
      <c r="AA493" s="127"/>
      <c r="AB493" s="127"/>
    </row>
    <row r="494" spans="1:28">
      <c r="A494" s="117"/>
      <c r="B494" s="115"/>
      <c r="C494" s="116"/>
      <c r="D494" s="117"/>
      <c r="E494" s="118"/>
      <c r="F494" s="119"/>
      <c r="G494" s="117"/>
      <c r="H494" s="117"/>
      <c r="I494" s="120"/>
      <c r="J494" s="120"/>
      <c r="K494" s="120"/>
      <c r="L494" s="117"/>
      <c r="M494" s="121"/>
      <c r="N494" s="122"/>
      <c r="O494" s="121"/>
      <c r="P494" s="122"/>
      <c r="Q494" s="123"/>
      <c r="R494" s="123"/>
      <c r="S494" s="123"/>
      <c r="T494" s="124"/>
      <c r="U494" s="123"/>
      <c r="V494" s="123"/>
      <c r="W494" s="123"/>
      <c r="X494" s="123"/>
      <c r="Y494" s="125" t="e">
        <f>VLOOKUP(#REF!,#REF!,18,FALSE)</f>
        <v>#REF!</v>
      </c>
      <c r="Z494" s="126"/>
      <c r="AA494" s="127"/>
      <c r="AB494" s="127"/>
    </row>
    <row r="495" spans="1:28">
      <c r="A495" s="117"/>
      <c r="B495" s="115"/>
      <c r="C495" s="116"/>
      <c r="D495" s="117"/>
      <c r="E495" s="118"/>
      <c r="F495" s="119"/>
      <c r="G495" s="117"/>
      <c r="H495" s="117"/>
      <c r="I495" s="120"/>
      <c r="J495" s="120"/>
      <c r="K495" s="120"/>
      <c r="L495" s="117"/>
      <c r="M495" s="121"/>
      <c r="N495" s="122"/>
      <c r="O495" s="121"/>
      <c r="P495" s="122"/>
      <c r="Q495" s="123"/>
      <c r="R495" s="123"/>
      <c r="S495" s="123"/>
      <c r="T495" s="124"/>
      <c r="U495" s="123"/>
      <c r="V495" s="123"/>
      <c r="W495" s="123"/>
      <c r="X495" s="123"/>
      <c r="Y495" s="125" t="e">
        <f>VLOOKUP(#REF!,#REF!,18,FALSE)</f>
        <v>#REF!</v>
      </c>
      <c r="Z495" s="126"/>
      <c r="AA495" s="127"/>
      <c r="AB495" s="127"/>
    </row>
    <row r="496" spans="1:28">
      <c r="A496" s="117"/>
      <c r="B496" s="115"/>
      <c r="C496" s="116"/>
      <c r="D496" s="117"/>
      <c r="E496" s="118"/>
      <c r="F496" s="119"/>
      <c r="G496" s="117"/>
      <c r="H496" s="117"/>
      <c r="I496" s="120"/>
      <c r="J496" s="120"/>
      <c r="K496" s="120"/>
      <c r="L496" s="117"/>
      <c r="M496" s="121"/>
      <c r="N496" s="122"/>
      <c r="O496" s="121"/>
      <c r="P496" s="122"/>
      <c r="Q496" s="123"/>
      <c r="R496" s="123"/>
      <c r="S496" s="123"/>
      <c r="T496" s="124"/>
      <c r="U496" s="123"/>
      <c r="V496" s="123"/>
      <c r="W496" s="123"/>
      <c r="X496" s="123"/>
      <c r="Y496" s="125" t="e">
        <f>VLOOKUP(#REF!,#REF!,18,FALSE)</f>
        <v>#REF!</v>
      </c>
      <c r="Z496" s="126"/>
      <c r="AA496" s="127"/>
      <c r="AB496" s="127"/>
    </row>
    <row r="497" spans="1:28">
      <c r="A497" s="117"/>
      <c r="B497" s="115"/>
      <c r="C497" s="116"/>
      <c r="D497" s="117"/>
      <c r="E497" s="118"/>
      <c r="F497" s="119"/>
      <c r="G497" s="117"/>
      <c r="H497" s="117"/>
      <c r="I497" s="120"/>
      <c r="J497" s="120"/>
      <c r="K497" s="120"/>
      <c r="L497" s="117"/>
      <c r="M497" s="121"/>
      <c r="N497" s="122"/>
      <c r="O497" s="121"/>
      <c r="P497" s="122"/>
      <c r="Q497" s="123"/>
      <c r="R497" s="123"/>
      <c r="S497" s="123"/>
      <c r="T497" s="124"/>
      <c r="U497" s="123"/>
      <c r="V497" s="123"/>
      <c r="W497" s="123"/>
      <c r="X497" s="123"/>
      <c r="Y497" s="125" t="e">
        <f>VLOOKUP(#REF!,#REF!,18,FALSE)</f>
        <v>#REF!</v>
      </c>
      <c r="Z497" s="126"/>
      <c r="AA497" s="127"/>
      <c r="AB497" s="127"/>
    </row>
    <row r="498" spans="1:28">
      <c r="A498" s="117"/>
      <c r="B498" s="115"/>
      <c r="C498" s="116"/>
      <c r="D498" s="117"/>
      <c r="E498" s="118"/>
      <c r="F498" s="119"/>
      <c r="G498" s="117"/>
      <c r="H498" s="117"/>
      <c r="I498" s="120"/>
      <c r="J498" s="120"/>
      <c r="K498" s="120"/>
      <c r="L498" s="117"/>
      <c r="M498" s="121"/>
      <c r="N498" s="122"/>
      <c r="O498" s="121"/>
      <c r="P498" s="122"/>
      <c r="Q498" s="123"/>
      <c r="R498" s="123"/>
      <c r="S498" s="123"/>
      <c r="T498" s="124"/>
      <c r="U498" s="123"/>
      <c r="V498" s="123"/>
      <c r="W498" s="123"/>
      <c r="X498" s="123"/>
      <c r="Y498" s="125" t="e">
        <f>VLOOKUP(#REF!,#REF!,18,FALSE)</f>
        <v>#REF!</v>
      </c>
      <c r="Z498" s="126"/>
      <c r="AA498" s="127"/>
      <c r="AB498" s="127"/>
    </row>
    <row r="499" spans="1:28">
      <c r="A499" s="117"/>
      <c r="B499" s="115"/>
      <c r="C499" s="116"/>
      <c r="D499" s="117"/>
      <c r="E499" s="118"/>
      <c r="F499" s="119"/>
      <c r="G499" s="117"/>
      <c r="H499" s="117"/>
      <c r="I499" s="120"/>
      <c r="J499" s="120"/>
      <c r="K499" s="120"/>
      <c r="L499" s="117"/>
      <c r="M499" s="121"/>
      <c r="N499" s="122"/>
      <c r="O499" s="121"/>
      <c r="P499" s="122"/>
      <c r="Q499" s="123"/>
      <c r="R499" s="123"/>
      <c r="S499" s="123"/>
      <c r="T499" s="124"/>
      <c r="U499" s="123"/>
      <c r="V499" s="123"/>
      <c r="W499" s="123"/>
      <c r="X499" s="123"/>
      <c r="Y499" s="125" t="e">
        <f>VLOOKUP(#REF!,#REF!,18,FALSE)</f>
        <v>#REF!</v>
      </c>
      <c r="Z499" s="126"/>
      <c r="AA499" s="127"/>
      <c r="AB499" s="127"/>
    </row>
    <row r="500" spans="1:28">
      <c r="A500" s="117"/>
      <c r="B500" s="115"/>
      <c r="C500" s="116"/>
      <c r="D500" s="117"/>
      <c r="E500" s="118"/>
      <c r="F500" s="119"/>
      <c r="G500" s="117"/>
      <c r="H500" s="117"/>
      <c r="I500" s="120"/>
      <c r="J500" s="120"/>
      <c r="K500" s="120"/>
      <c r="L500" s="117"/>
      <c r="M500" s="121"/>
      <c r="N500" s="122"/>
      <c r="O500" s="121"/>
      <c r="P500" s="122"/>
      <c r="Q500" s="123"/>
      <c r="R500" s="123"/>
      <c r="S500" s="123"/>
      <c r="T500" s="124"/>
      <c r="U500" s="123"/>
      <c r="V500" s="123"/>
      <c r="W500" s="123"/>
      <c r="X500" s="123"/>
      <c r="Y500" s="125" t="e">
        <f>VLOOKUP(#REF!,#REF!,18,FALSE)</f>
        <v>#REF!</v>
      </c>
      <c r="Z500" s="126"/>
      <c r="AA500" s="127"/>
      <c r="AB500" s="127"/>
    </row>
    <row r="501" spans="1:28">
      <c r="F501" s="128"/>
    </row>
    <row r="502" spans="1:28">
      <c r="F502" s="128"/>
    </row>
    <row r="503" spans="1:28">
      <c r="F503" s="128"/>
    </row>
    <row r="504" spans="1:28">
      <c r="F504" s="128"/>
    </row>
    <row r="505" spans="1:28">
      <c r="F505" s="128"/>
    </row>
    <row r="506" spans="1:28">
      <c r="F506" s="128"/>
    </row>
    <row r="507" spans="1:28">
      <c r="F507" s="128"/>
    </row>
    <row r="508" spans="1:28">
      <c r="F508" s="128"/>
    </row>
    <row r="509" spans="1:28">
      <c r="F509" s="128"/>
    </row>
    <row r="510" spans="1:28">
      <c r="F510" s="128"/>
    </row>
    <row r="511" spans="1:28">
      <c r="F511" s="128"/>
    </row>
    <row r="512" spans="1:28">
      <c r="F512" s="128"/>
    </row>
    <row r="513" spans="6:6">
      <c r="F513" s="128"/>
    </row>
    <row r="514" spans="6:6">
      <c r="F514" s="128"/>
    </row>
    <row r="515" spans="6:6">
      <c r="F515" s="128"/>
    </row>
    <row r="516" spans="6:6">
      <c r="F516" s="128"/>
    </row>
    <row r="517" spans="6:6">
      <c r="F517" s="128"/>
    </row>
    <row r="518" spans="6:6">
      <c r="F518" s="128"/>
    </row>
    <row r="519" spans="6:6">
      <c r="F519" s="128"/>
    </row>
    <row r="520" spans="6:6">
      <c r="F520" s="128"/>
    </row>
    <row r="521" spans="6:6">
      <c r="F521" s="128"/>
    </row>
    <row r="522" spans="6:6">
      <c r="F522" s="128"/>
    </row>
    <row r="523" spans="6:6">
      <c r="F523" s="128"/>
    </row>
    <row r="524" spans="6:6">
      <c r="F524" s="128"/>
    </row>
    <row r="525" spans="6:6">
      <c r="F525" s="128"/>
    </row>
    <row r="526" spans="6:6">
      <c r="F526" s="128"/>
    </row>
    <row r="527" spans="6:6">
      <c r="F527" s="128"/>
    </row>
    <row r="528" spans="6:6">
      <c r="F528" s="128"/>
    </row>
    <row r="529" spans="6:6">
      <c r="F529" s="128"/>
    </row>
    <row r="530" spans="6:6">
      <c r="F530" s="128"/>
    </row>
    <row r="531" spans="6:6">
      <c r="F531" s="128"/>
    </row>
    <row r="532" spans="6:6">
      <c r="F532" s="128"/>
    </row>
    <row r="533" spans="6:6">
      <c r="F533" s="128"/>
    </row>
    <row r="534" spans="6:6">
      <c r="F534" s="128"/>
    </row>
    <row r="535" spans="6:6">
      <c r="F535" s="128"/>
    </row>
    <row r="536" spans="6:6">
      <c r="F536" s="128"/>
    </row>
    <row r="537" spans="6:6">
      <c r="F537" s="128"/>
    </row>
    <row r="538" spans="6:6">
      <c r="F538" s="128"/>
    </row>
    <row r="539" spans="6:6">
      <c r="F539" s="128"/>
    </row>
    <row r="540" spans="6:6">
      <c r="F540" s="128"/>
    </row>
    <row r="541" spans="6:6">
      <c r="F541" s="128"/>
    </row>
    <row r="542" spans="6:6">
      <c r="F542" s="128"/>
    </row>
    <row r="543" spans="6:6">
      <c r="F543" s="128"/>
    </row>
    <row r="544" spans="6:6">
      <c r="F544" s="128"/>
    </row>
    <row r="545" spans="6:6">
      <c r="F545" s="128"/>
    </row>
    <row r="546" spans="6:6">
      <c r="F546" s="128"/>
    </row>
    <row r="547" spans="6:6">
      <c r="F547" s="128"/>
    </row>
    <row r="548" spans="6:6">
      <c r="F548" s="128"/>
    </row>
    <row r="549" spans="6:6">
      <c r="F549" s="128"/>
    </row>
    <row r="550" spans="6:6">
      <c r="F550" s="128"/>
    </row>
    <row r="551" spans="6:6">
      <c r="F551" s="128"/>
    </row>
    <row r="552" spans="6:6">
      <c r="F552" s="128"/>
    </row>
    <row r="553" spans="6:6">
      <c r="F553" s="128"/>
    </row>
    <row r="554" spans="6:6">
      <c r="F554" s="128"/>
    </row>
    <row r="555" spans="6:6">
      <c r="F555" s="128"/>
    </row>
    <row r="556" spans="6:6">
      <c r="F556" s="128"/>
    </row>
    <row r="557" spans="6:6">
      <c r="F557" s="128"/>
    </row>
    <row r="558" spans="6:6">
      <c r="F558" s="128"/>
    </row>
    <row r="559" spans="6:6">
      <c r="F559" s="128"/>
    </row>
    <row r="560" spans="6:6">
      <c r="F560" s="128"/>
    </row>
    <row r="561" spans="6:6">
      <c r="F561" s="128"/>
    </row>
    <row r="562" spans="6:6">
      <c r="F562" s="128"/>
    </row>
    <row r="563" spans="6:6">
      <c r="F563" s="128"/>
    </row>
    <row r="564" spans="6:6">
      <c r="F564" s="128"/>
    </row>
    <row r="565" spans="6:6">
      <c r="F565" s="128"/>
    </row>
    <row r="566" spans="6:6">
      <c r="F566" s="128"/>
    </row>
    <row r="567" spans="6:6">
      <c r="F567" s="128"/>
    </row>
    <row r="568" spans="6:6">
      <c r="F568" s="128"/>
    </row>
    <row r="569" spans="6:6">
      <c r="F569" s="128"/>
    </row>
    <row r="570" spans="6:6">
      <c r="F570" s="128"/>
    </row>
    <row r="571" spans="6:6">
      <c r="F571" s="128"/>
    </row>
    <row r="572" spans="6:6">
      <c r="F572" s="128"/>
    </row>
    <row r="573" spans="6:6">
      <c r="F573" s="128"/>
    </row>
    <row r="574" spans="6:6">
      <c r="F574" s="128"/>
    </row>
    <row r="575" spans="6:6">
      <c r="F575" s="128"/>
    </row>
    <row r="576" spans="6:6">
      <c r="F576" s="128"/>
    </row>
    <row r="577" spans="6:6">
      <c r="F577" s="128"/>
    </row>
    <row r="578" spans="6:6">
      <c r="F578" s="128"/>
    </row>
    <row r="579" spans="6:6">
      <c r="F579" s="128"/>
    </row>
    <row r="580" spans="6:6">
      <c r="F580" s="128"/>
    </row>
    <row r="581" spans="6:6">
      <c r="F581" s="128"/>
    </row>
  </sheetData>
  <mergeCells count="3">
    <mergeCell ref="E2:G2"/>
    <mergeCell ref="H7:P7"/>
    <mergeCell ref="Q7:X7"/>
  </mergeCells>
  <pageMargins left="0.7" right="0.7" top="0.75" bottom="0.75" header="0.3" footer="0.3"/>
  <pageSetup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G9" sqref="G9:I9"/>
    </sheetView>
  </sheetViews>
  <sheetFormatPr defaultRowHeight="14.4"/>
  <cols>
    <col min="1" max="1" width="28.109375" customWidth="1"/>
    <col min="2" max="2" width="17.6640625" customWidth="1"/>
    <col min="3" max="3" width="25.5546875" customWidth="1"/>
    <col min="4" max="4" width="9.33203125" bestFit="1" customWidth="1"/>
    <col min="5" max="5" width="24.88671875" bestFit="1" customWidth="1"/>
    <col min="6" max="6" width="18.5546875" customWidth="1"/>
    <col min="7" max="7" width="26" bestFit="1" customWidth="1"/>
    <col min="8" max="8" width="9.5546875" bestFit="1" customWidth="1"/>
    <col min="9" max="9" width="9.33203125" bestFit="1" customWidth="1"/>
    <col min="10" max="10" width="16.6640625" bestFit="1" customWidth="1"/>
  </cols>
  <sheetData>
    <row r="1" spans="1:10" s="211" customFormat="1" ht="15.6">
      <c r="A1" s="212" t="s">
        <v>235</v>
      </c>
    </row>
    <row r="2" spans="1:10">
      <c r="A2" s="179" t="s">
        <v>216</v>
      </c>
      <c r="B2" s="180">
        <v>6.7031960000000005E-4</v>
      </c>
      <c r="C2" s="181" t="s">
        <v>331</v>
      </c>
    </row>
    <row r="3" spans="1:10" ht="15" thickBot="1"/>
    <row r="4" spans="1:10" ht="31.5" customHeight="1">
      <c r="A4" s="747" t="s">
        <v>227</v>
      </c>
      <c r="B4" s="734"/>
      <c r="C4" s="736" t="s">
        <v>217</v>
      </c>
      <c r="D4" s="737"/>
      <c r="E4" s="736" t="s">
        <v>218</v>
      </c>
      <c r="F4" s="736"/>
      <c r="G4" s="738" t="s">
        <v>229</v>
      </c>
      <c r="H4" s="736"/>
      <c r="I4" s="737"/>
      <c r="J4" s="220" t="s">
        <v>231</v>
      </c>
    </row>
    <row r="5" spans="1:10">
      <c r="A5" s="748"/>
      <c r="B5" s="735"/>
      <c r="C5" s="183" t="s">
        <v>25</v>
      </c>
      <c r="D5" s="184" t="s">
        <v>220</v>
      </c>
      <c r="E5" s="183" t="s">
        <v>25</v>
      </c>
      <c r="F5" s="185" t="s">
        <v>220</v>
      </c>
      <c r="G5" s="186" t="s">
        <v>221</v>
      </c>
      <c r="H5" s="187" t="s">
        <v>25</v>
      </c>
      <c r="I5" s="221" t="s">
        <v>220</v>
      </c>
      <c r="J5" s="222" t="s">
        <v>230</v>
      </c>
    </row>
    <row r="6" spans="1:10">
      <c r="A6" s="748"/>
      <c r="B6" s="189" t="s">
        <v>222</v>
      </c>
      <c r="C6" s="190">
        <f>Title20_UEC!H4</f>
        <v>2.4001936064835663</v>
      </c>
      <c r="D6" s="191">
        <f>Title20_UEC!I4</f>
        <v>8.6076091850517789E-2</v>
      </c>
      <c r="E6" s="213">
        <f>C6*Annual_Cycles!C4</f>
        <v>708.05711391265208</v>
      </c>
      <c r="F6" s="213">
        <f>D6*Annual_Cycles!C4</f>
        <v>25.392447095902746</v>
      </c>
      <c r="G6" s="194">
        <f>G16*(Annual_Cycles!C$4/Annual_Cycles!C$5)/'Interactive Effects'!F59*'Interactive Effects'!C59</f>
        <v>0.48539853891829776</v>
      </c>
      <c r="H6" s="192">
        <f>E6*'Interactive Effects'!D59</f>
        <v>955.73549235929784</v>
      </c>
      <c r="I6" s="193">
        <f>F6+E6*'Interactive Effects'!E59</f>
        <v>8.4040327617964827</v>
      </c>
      <c r="J6" s="223">
        <f>Title20_UEC!J4*Annual_Cycles!C4</f>
        <v>12154</v>
      </c>
    </row>
    <row r="7" spans="1:10" ht="15" thickBot="1">
      <c r="A7" s="748"/>
      <c r="B7" s="195" t="s">
        <v>168</v>
      </c>
      <c r="C7" s="196">
        <f>'Measure UEC'!C25</f>
        <v>0.91185029266096351</v>
      </c>
      <c r="D7" s="197">
        <f>'Measure UEC'!C26</f>
        <v>3.5751644045024761E-2</v>
      </c>
      <c r="E7" s="198">
        <f>C7*Annual_Cycles!C4</f>
        <v>268.99583633498423</v>
      </c>
      <c r="F7" s="198">
        <f>D7*Annual_Cycles!C4</f>
        <v>10.546734993282305</v>
      </c>
      <c r="G7" s="194">
        <f>G17*(Annual_Cycles!C$4/Annual_Cycles!C$5)/'Interactive Effects'!F59*'Interactive Effects'!C59</f>
        <v>0.18440629063182379</v>
      </c>
      <c r="H7" s="198">
        <f>E7*'Interactive Effects'!D52</f>
        <v>359.57570095685128</v>
      </c>
      <c r="I7" s="199">
        <f>F7+E7*'Interactive Effects'!E59</f>
        <v>4.0927178920970286</v>
      </c>
      <c r="J7" s="224">
        <f>'Measure UEC'!C27*Annual_Cycles!C4</f>
        <v>5141</v>
      </c>
    </row>
    <row r="8" spans="1:10" ht="15" thickBot="1">
      <c r="A8" s="748"/>
      <c r="B8" s="201"/>
      <c r="C8" s="202"/>
      <c r="D8" s="202"/>
      <c r="E8" s="203"/>
      <c r="F8" s="202"/>
      <c r="G8" s="203"/>
      <c r="H8" s="203"/>
      <c r="I8" s="204"/>
    </row>
    <row r="9" spans="1:10" ht="30.75" customHeight="1">
      <c r="A9" s="748"/>
      <c r="B9" s="739" t="s">
        <v>168</v>
      </c>
      <c r="C9" s="741" t="s">
        <v>223</v>
      </c>
      <c r="D9" s="742"/>
      <c r="E9" s="743" t="s">
        <v>224</v>
      </c>
      <c r="F9" s="742"/>
      <c r="G9" s="744" t="s">
        <v>219</v>
      </c>
      <c r="H9" s="745"/>
      <c r="I9" s="746"/>
      <c r="J9" s="220" t="s">
        <v>239</v>
      </c>
    </row>
    <row r="10" spans="1:10">
      <c r="A10" s="748"/>
      <c r="B10" s="740"/>
      <c r="C10" s="205" t="s">
        <v>25</v>
      </c>
      <c r="D10" s="206" t="s">
        <v>220</v>
      </c>
      <c r="E10" s="207" t="s">
        <v>25</v>
      </c>
      <c r="F10" s="206" t="s">
        <v>220</v>
      </c>
      <c r="G10" s="208" t="s">
        <v>221</v>
      </c>
      <c r="H10" s="207" t="s">
        <v>25</v>
      </c>
      <c r="I10" s="206" t="s">
        <v>220</v>
      </c>
      <c r="J10" s="222" t="s">
        <v>230</v>
      </c>
    </row>
    <row r="11" spans="1:10" ht="15" thickBot="1">
      <c r="A11" s="749"/>
      <c r="B11" s="209" t="s">
        <v>121</v>
      </c>
      <c r="C11" s="214">
        <f t="shared" ref="C11:J11" si="0">C6-C7</f>
        <v>1.4883433138226028</v>
      </c>
      <c r="D11" s="215">
        <f t="shared" si="0"/>
        <v>5.0324447805493028E-2</v>
      </c>
      <c r="E11" s="216">
        <f t="shared" si="0"/>
        <v>439.06127757766785</v>
      </c>
      <c r="F11" s="215">
        <f t="shared" si="0"/>
        <v>14.845712102620441</v>
      </c>
      <c r="G11" s="217">
        <f>G6-G7</f>
        <v>0.30099224828647397</v>
      </c>
      <c r="H11" s="218">
        <f t="shared" si="0"/>
        <v>596.15979140244656</v>
      </c>
      <c r="I11" s="219">
        <f t="shared" si="0"/>
        <v>4.3113148696994541</v>
      </c>
      <c r="J11" s="224">
        <f t="shared" si="0"/>
        <v>7013</v>
      </c>
    </row>
    <row r="12" spans="1:10">
      <c r="A12" s="182"/>
      <c r="B12" s="182"/>
      <c r="C12" s="182"/>
      <c r="D12" s="182"/>
      <c r="E12" s="182"/>
      <c r="F12" s="182"/>
      <c r="G12" s="210"/>
      <c r="H12" s="210"/>
      <c r="I12" s="210"/>
    </row>
    <row r="13" spans="1:10" ht="15" thickBot="1">
      <c r="A13" s="182"/>
      <c r="B13" s="182"/>
      <c r="C13" s="182"/>
      <c r="D13" s="182"/>
      <c r="E13" s="182"/>
      <c r="F13" s="182"/>
      <c r="G13" s="182"/>
      <c r="H13" s="182"/>
      <c r="I13" s="182"/>
    </row>
    <row r="14" spans="1:10" ht="30" customHeight="1">
      <c r="A14" s="731" t="s">
        <v>215</v>
      </c>
      <c r="B14" s="734"/>
      <c r="C14" s="736" t="s">
        <v>225</v>
      </c>
      <c r="D14" s="737"/>
      <c r="E14" s="736" t="s">
        <v>226</v>
      </c>
      <c r="F14" s="736"/>
      <c r="G14" s="738" t="s">
        <v>229</v>
      </c>
      <c r="H14" s="736"/>
      <c r="I14" s="737"/>
      <c r="J14" s="220" t="s">
        <v>231</v>
      </c>
    </row>
    <row r="15" spans="1:10">
      <c r="A15" s="732"/>
      <c r="B15" s="735"/>
      <c r="C15" s="183" t="s">
        <v>25</v>
      </c>
      <c r="D15" s="184" t="s">
        <v>220</v>
      </c>
      <c r="E15" s="183" t="s">
        <v>25</v>
      </c>
      <c r="F15" s="185" t="s">
        <v>220</v>
      </c>
      <c r="G15" s="186" t="s">
        <v>221</v>
      </c>
      <c r="H15" s="187" t="s">
        <v>25</v>
      </c>
      <c r="I15" s="188" t="s">
        <v>220</v>
      </c>
      <c r="J15" s="222" t="s">
        <v>230</v>
      </c>
    </row>
    <row r="16" spans="1:10">
      <c r="A16" s="732"/>
      <c r="B16" s="189" t="s">
        <v>222</v>
      </c>
      <c r="C16" s="190">
        <f>Title20_UEC!H4</f>
        <v>2.4001936064835663</v>
      </c>
      <c r="D16" s="191">
        <f>Title20_UEC!I4</f>
        <v>8.6076091850517789E-2</v>
      </c>
      <c r="E16" s="192">
        <f>C16*Annual_Cycles!C5</f>
        <v>2628.2119990995052</v>
      </c>
      <c r="F16" s="193">
        <f>D16*Annual_Cycles!C5</f>
        <v>94.25332057631698</v>
      </c>
      <c r="G16" s="194">
        <f>E16*B2*'Interactive Effects'!F59</f>
        <v>1.8626898334656063</v>
      </c>
      <c r="H16" s="192">
        <f>E16*'Interactive Effects'!G59</f>
        <v>3206.1558177014863</v>
      </c>
      <c r="I16" s="191">
        <f>F16+E16*'Interactive Effects'!H59</f>
        <v>84.478737330466004</v>
      </c>
      <c r="J16" s="223">
        <f>Title20_UEC!J4*Annual_Cycles!C5</f>
        <v>45114</v>
      </c>
    </row>
    <row r="17" spans="1:10" ht="15" thickBot="1">
      <c r="A17" s="732"/>
      <c r="B17" s="195" t="s">
        <v>168</v>
      </c>
      <c r="C17" s="196">
        <f>'Measure UEC'!C25</f>
        <v>0.91185029266096351</v>
      </c>
      <c r="D17" s="197">
        <f>'Measure UEC'!C26</f>
        <v>3.5751644045024761E-2</v>
      </c>
      <c r="E17" s="198">
        <f>C17*Annual_Cycles!C5</f>
        <v>998.47607046375504</v>
      </c>
      <c r="F17" s="199">
        <f>D17*Annual_Cycles!C5</f>
        <v>39.148050229302115</v>
      </c>
      <c r="G17" s="200">
        <f>E17*B2*'Interactive Effects'!F59</f>
        <v>0.70764886015616657</v>
      </c>
      <c r="H17" s="192">
        <f>E17*'Interactive Effects'!G59</f>
        <v>1218.0409583587348</v>
      </c>
      <c r="I17" s="191">
        <f>F17+E17*'Interactive Effects'!H59</f>
        <v>35.434617875640363</v>
      </c>
      <c r="J17" s="223">
        <f>'Measure UEC'!C27*Annual_Cycles!C5</f>
        <v>19082.694915254237</v>
      </c>
    </row>
    <row r="18" spans="1:10" ht="15" thickBot="1">
      <c r="A18" s="732"/>
      <c r="B18" s="201"/>
      <c r="C18" s="202"/>
      <c r="D18" s="202"/>
      <c r="E18" s="203"/>
      <c r="F18" s="202"/>
      <c r="G18" s="203"/>
      <c r="H18" s="203"/>
      <c r="I18" s="204"/>
    </row>
    <row r="19" spans="1:10" ht="29.25" customHeight="1">
      <c r="A19" s="732"/>
      <c r="B19" s="739" t="s">
        <v>168</v>
      </c>
      <c r="C19" s="741" t="s">
        <v>223</v>
      </c>
      <c r="D19" s="742"/>
      <c r="E19" s="743" t="s">
        <v>224</v>
      </c>
      <c r="F19" s="742"/>
      <c r="G19" s="744" t="s">
        <v>219</v>
      </c>
      <c r="H19" s="745"/>
      <c r="I19" s="746"/>
      <c r="J19" s="220" t="s">
        <v>239</v>
      </c>
    </row>
    <row r="20" spans="1:10">
      <c r="A20" s="732"/>
      <c r="B20" s="740"/>
      <c r="C20" s="205" t="s">
        <v>25</v>
      </c>
      <c r="D20" s="206" t="s">
        <v>220</v>
      </c>
      <c r="E20" s="207" t="s">
        <v>25</v>
      </c>
      <c r="F20" s="206" t="s">
        <v>220</v>
      </c>
      <c r="G20" s="208" t="s">
        <v>221</v>
      </c>
      <c r="H20" s="207" t="s">
        <v>25</v>
      </c>
      <c r="I20" s="206" t="s">
        <v>220</v>
      </c>
      <c r="J20" s="222" t="s">
        <v>230</v>
      </c>
    </row>
    <row r="21" spans="1:10" ht="15" thickBot="1">
      <c r="A21" s="733"/>
      <c r="B21" s="209" t="s">
        <v>121</v>
      </c>
      <c r="C21" s="214">
        <f t="shared" ref="C21:J21" si="1">C16-C17</f>
        <v>1.4883433138226028</v>
      </c>
      <c r="D21" s="215">
        <f t="shared" si="1"/>
        <v>5.0324447805493028E-2</v>
      </c>
      <c r="E21" s="216">
        <f t="shared" si="1"/>
        <v>1629.73592863575</v>
      </c>
      <c r="F21" s="215">
        <f t="shared" si="1"/>
        <v>55.105270347014866</v>
      </c>
      <c r="G21" s="217">
        <f>G16-G17</f>
        <v>1.1550409733094398</v>
      </c>
      <c r="H21" s="218">
        <f t="shared" si="1"/>
        <v>1988.1148593427515</v>
      </c>
      <c r="I21" s="219">
        <f t="shared" si="1"/>
        <v>49.044119454825641</v>
      </c>
      <c r="J21" s="224">
        <f t="shared" si="1"/>
        <v>26031.305084745763</v>
      </c>
    </row>
    <row r="22" spans="1:10">
      <c r="B22" s="225"/>
      <c r="C22" s="226"/>
      <c r="D22" s="226"/>
      <c r="E22" s="226"/>
      <c r="F22" s="226"/>
      <c r="J22" s="227"/>
    </row>
  </sheetData>
  <mergeCells count="18">
    <mergeCell ref="A4:A11"/>
    <mergeCell ref="B4:B5"/>
    <mergeCell ref="C4:D4"/>
    <mergeCell ref="E4:F4"/>
    <mergeCell ref="G4:I4"/>
    <mergeCell ref="B9:B10"/>
    <mergeCell ref="C9:D9"/>
    <mergeCell ref="E9:F9"/>
    <mergeCell ref="G9:I9"/>
    <mergeCell ref="A14:A21"/>
    <mergeCell ref="B14:B15"/>
    <mergeCell ref="C14:D14"/>
    <mergeCell ref="E14:F14"/>
    <mergeCell ref="G14:I14"/>
    <mergeCell ref="B19:B20"/>
    <mergeCell ref="C19:D19"/>
    <mergeCell ref="E19:F19"/>
    <mergeCell ref="G19:I1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G9" sqref="G9:I9"/>
    </sheetView>
  </sheetViews>
  <sheetFormatPr defaultRowHeight="14.4"/>
  <cols>
    <col min="1" max="1" width="28.109375" customWidth="1"/>
    <col min="2" max="2" width="17.6640625" customWidth="1"/>
    <col min="3" max="3" width="25.5546875" customWidth="1"/>
    <col min="4" max="4" width="9.33203125" bestFit="1" customWidth="1"/>
    <col min="5" max="5" width="24.88671875" bestFit="1" customWidth="1"/>
    <col min="6" max="6" width="18.5546875" customWidth="1"/>
    <col min="7" max="7" width="26" bestFit="1" customWidth="1"/>
    <col min="8" max="8" width="9.5546875" bestFit="1" customWidth="1"/>
    <col min="9" max="9" width="9.33203125" bestFit="1" customWidth="1"/>
    <col min="10" max="10" width="16.6640625" bestFit="1" customWidth="1"/>
  </cols>
  <sheetData>
    <row r="1" spans="1:10" s="211" customFormat="1" ht="15.6">
      <c r="A1" s="212" t="s">
        <v>236</v>
      </c>
    </row>
    <row r="2" spans="1:10">
      <c r="A2" s="179" t="s">
        <v>216</v>
      </c>
      <c r="B2" s="180">
        <v>6.7031960000000005E-4</v>
      </c>
      <c r="C2" s="181" t="s">
        <v>331</v>
      </c>
    </row>
    <row r="3" spans="1:10" ht="15" thickBot="1"/>
    <row r="4" spans="1:10" ht="31.5" customHeight="1">
      <c r="A4" s="747" t="s">
        <v>227</v>
      </c>
      <c r="B4" s="734"/>
      <c r="C4" s="736" t="s">
        <v>217</v>
      </c>
      <c r="D4" s="737"/>
      <c r="E4" s="736" t="s">
        <v>218</v>
      </c>
      <c r="F4" s="736"/>
      <c r="G4" s="738" t="s">
        <v>229</v>
      </c>
      <c r="H4" s="736"/>
      <c r="I4" s="737"/>
      <c r="J4" s="220" t="s">
        <v>231</v>
      </c>
    </row>
    <row r="5" spans="1:10">
      <c r="A5" s="748"/>
      <c r="B5" s="735"/>
      <c r="C5" s="183" t="s">
        <v>25</v>
      </c>
      <c r="D5" s="184" t="s">
        <v>220</v>
      </c>
      <c r="E5" s="183" t="s">
        <v>25</v>
      </c>
      <c r="F5" s="185" t="s">
        <v>220</v>
      </c>
      <c r="G5" s="186" t="s">
        <v>221</v>
      </c>
      <c r="H5" s="187" t="s">
        <v>25</v>
      </c>
      <c r="I5" s="221" t="s">
        <v>220</v>
      </c>
      <c r="J5" s="222" t="s">
        <v>230</v>
      </c>
    </row>
    <row r="6" spans="1:10">
      <c r="A6" s="748"/>
      <c r="B6" s="189" t="s">
        <v>222</v>
      </c>
      <c r="C6" s="190">
        <f>Title20_UEC!H7</f>
        <v>1.2692777118755767</v>
      </c>
      <c r="D6" s="191">
        <f>Title20_UEC!I7</f>
        <v>0.12893633847370503</v>
      </c>
      <c r="E6" s="213">
        <f>C6*Annual_Cycles!C4</f>
        <v>374.43692500329513</v>
      </c>
      <c r="F6" s="213">
        <f>D6*Annual_Cycles!C4</f>
        <v>38.036219849742984</v>
      </c>
      <c r="G6" s="194">
        <f>G16*(Annual_Cycles!C$4/Annual_Cycles!C$5)/'Interactive Effects'!F60*'Interactive Effects'!C60</f>
        <v>0.26878777164779366</v>
      </c>
      <c r="H6" s="192">
        <f>E6*'Interactive Effects'!D60</f>
        <v>518.22070420456043</v>
      </c>
      <c r="I6" s="193">
        <f>F6+E6*'Interactive Effects'!E60</f>
        <v>30.854894065104787</v>
      </c>
      <c r="J6" s="223">
        <f>Title20_UEC!J7*Annual_Cycles!C4</f>
        <v>12154</v>
      </c>
    </row>
    <row r="7" spans="1:10" ht="15" thickBot="1">
      <c r="A7" s="748"/>
      <c r="B7" s="195" t="s">
        <v>168</v>
      </c>
      <c r="C7" s="196">
        <f>'Measure UEC'!D25</f>
        <v>0.50395861341768811</v>
      </c>
      <c r="D7" s="197">
        <f>'Measure UEC'!D26</f>
        <v>5.118563769605905E-2</v>
      </c>
      <c r="E7" s="198">
        <f>C7*Annual_Cycles!C4</f>
        <v>148.66779095821798</v>
      </c>
      <c r="F7" s="198">
        <f>D7*Annual_Cycles!C4</f>
        <v>15.099763120337419</v>
      </c>
      <c r="G7" s="194">
        <f>G17*(Annual_Cycles!C$4/Annual_Cycles!C$5)/'Interactive Effects'!F60*'Interactive Effects'!C60</f>
        <v>0.10672046900050723</v>
      </c>
      <c r="H7" s="198">
        <f>E7*'Interactive Effects'!D60</f>
        <v>205.75622268617366</v>
      </c>
      <c r="I7" s="199">
        <f>F7+E7*'Interactive Effects'!E60</f>
        <v>12.248463557549757</v>
      </c>
      <c r="J7" s="224">
        <f>'Measure UEC'!D27*Annual_Cycles!C4</f>
        <v>5141</v>
      </c>
    </row>
    <row r="8" spans="1:10" ht="15" thickBot="1">
      <c r="A8" s="748"/>
      <c r="B8" s="201"/>
      <c r="C8" s="202"/>
      <c r="D8" s="202"/>
      <c r="E8" s="203"/>
      <c r="F8" s="202"/>
      <c r="G8" s="203"/>
      <c r="H8" s="203"/>
      <c r="I8" s="204"/>
    </row>
    <row r="9" spans="1:10" ht="30.75" customHeight="1">
      <c r="A9" s="748"/>
      <c r="B9" s="739" t="s">
        <v>168</v>
      </c>
      <c r="C9" s="741" t="s">
        <v>223</v>
      </c>
      <c r="D9" s="742"/>
      <c r="E9" s="743" t="s">
        <v>224</v>
      </c>
      <c r="F9" s="742"/>
      <c r="G9" s="744" t="s">
        <v>219</v>
      </c>
      <c r="H9" s="745"/>
      <c r="I9" s="746"/>
      <c r="J9" s="220" t="s">
        <v>239</v>
      </c>
    </row>
    <row r="10" spans="1:10">
      <c r="A10" s="748"/>
      <c r="B10" s="740"/>
      <c r="C10" s="205" t="s">
        <v>25</v>
      </c>
      <c r="D10" s="206" t="s">
        <v>220</v>
      </c>
      <c r="E10" s="207" t="s">
        <v>25</v>
      </c>
      <c r="F10" s="206" t="s">
        <v>220</v>
      </c>
      <c r="G10" s="208" t="s">
        <v>221</v>
      </c>
      <c r="H10" s="207" t="s">
        <v>25</v>
      </c>
      <c r="I10" s="206" t="s">
        <v>220</v>
      </c>
      <c r="J10" s="222" t="s">
        <v>230</v>
      </c>
    </row>
    <row r="11" spans="1:10" ht="15" thickBot="1">
      <c r="A11" s="749"/>
      <c r="B11" s="209" t="s">
        <v>121</v>
      </c>
      <c r="C11" s="214">
        <f t="shared" ref="C11:J11" si="0">C6-C7</f>
        <v>0.76531909845788859</v>
      </c>
      <c r="D11" s="215">
        <f t="shared" si="0"/>
        <v>7.7750700777645981E-2</v>
      </c>
      <c r="E11" s="216">
        <f t="shared" si="0"/>
        <v>225.76913404507715</v>
      </c>
      <c r="F11" s="215">
        <f t="shared" si="0"/>
        <v>22.936456729405563</v>
      </c>
      <c r="G11" s="217">
        <f>G6-G7</f>
        <v>0.16206730264728642</v>
      </c>
      <c r="H11" s="218">
        <f t="shared" si="0"/>
        <v>312.46448151838678</v>
      </c>
      <c r="I11" s="219">
        <f t="shared" si="0"/>
        <v>18.606430507555032</v>
      </c>
      <c r="J11" s="224">
        <f t="shared" si="0"/>
        <v>7013</v>
      </c>
    </row>
    <row r="12" spans="1:10">
      <c r="A12" s="182"/>
      <c r="B12" s="182"/>
      <c r="C12" s="182"/>
      <c r="D12" s="182"/>
      <c r="E12" s="182"/>
      <c r="F12" s="182"/>
      <c r="G12" s="210"/>
      <c r="H12" s="210"/>
      <c r="I12" s="210"/>
    </row>
    <row r="13" spans="1:10" ht="15" thickBot="1">
      <c r="A13" s="182"/>
      <c r="B13" s="182"/>
      <c r="C13" s="182"/>
      <c r="D13" s="182"/>
      <c r="E13" s="182"/>
      <c r="F13" s="182"/>
      <c r="G13" s="182"/>
      <c r="H13" s="182"/>
      <c r="I13" s="182"/>
    </row>
    <row r="14" spans="1:10" ht="30" customHeight="1">
      <c r="A14" s="731" t="s">
        <v>215</v>
      </c>
      <c r="B14" s="734"/>
      <c r="C14" s="736" t="s">
        <v>225</v>
      </c>
      <c r="D14" s="737"/>
      <c r="E14" s="736" t="s">
        <v>226</v>
      </c>
      <c r="F14" s="736"/>
      <c r="G14" s="738" t="s">
        <v>229</v>
      </c>
      <c r="H14" s="736"/>
      <c r="I14" s="737"/>
      <c r="J14" s="220" t="s">
        <v>231</v>
      </c>
    </row>
    <row r="15" spans="1:10">
      <c r="A15" s="732"/>
      <c r="B15" s="735"/>
      <c r="C15" s="183" t="s">
        <v>25</v>
      </c>
      <c r="D15" s="184" t="s">
        <v>220</v>
      </c>
      <c r="E15" s="183" t="s">
        <v>25</v>
      </c>
      <c r="F15" s="185" t="s">
        <v>220</v>
      </c>
      <c r="G15" s="186" t="s">
        <v>221</v>
      </c>
      <c r="H15" s="187" t="s">
        <v>25</v>
      </c>
      <c r="I15" s="188" t="s">
        <v>220</v>
      </c>
      <c r="J15" s="222" t="s">
        <v>230</v>
      </c>
    </row>
    <row r="16" spans="1:10">
      <c r="A16" s="732"/>
      <c r="B16" s="189" t="s">
        <v>222</v>
      </c>
      <c r="C16" s="190">
        <f>Title20_UEC!H7</f>
        <v>1.2692777118755767</v>
      </c>
      <c r="D16" s="191">
        <f>Title20_UEC!I7</f>
        <v>0.12893633847370503</v>
      </c>
      <c r="E16" s="192">
        <f>C16*Annual_Cycles!C5</f>
        <v>1389.8590945037565</v>
      </c>
      <c r="F16" s="193">
        <f>D16*Annual_Cycles!C5</f>
        <v>141.18529062870701</v>
      </c>
      <c r="G16" s="194">
        <f>E16*B2*'Interactive Effects'!F60</f>
        <v>1.0579815041178471</v>
      </c>
      <c r="H16" s="192">
        <f>E16*'Interactive Effects'!G60</f>
        <v>1780.5484859687624</v>
      </c>
      <c r="I16" s="191">
        <f>F16+E16*'Interactive Effects'!H60</f>
        <v>138.81599783030646</v>
      </c>
      <c r="J16" s="223">
        <f>Title20_UEC!J7*Annual_Cycles!C5</f>
        <v>45114</v>
      </c>
    </row>
    <row r="17" spans="1:10" ht="15" thickBot="1">
      <c r="A17" s="732"/>
      <c r="B17" s="195" t="s">
        <v>168</v>
      </c>
      <c r="C17" s="196">
        <f>'Measure UEC'!D25</f>
        <v>0.50395861341768811</v>
      </c>
      <c r="D17" s="197">
        <f>'Measure UEC'!D26</f>
        <v>5.118563769605905E-2</v>
      </c>
      <c r="E17" s="198">
        <f>C17*Annual_Cycles!C5</f>
        <v>551.83468169236846</v>
      </c>
      <c r="F17" s="199">
        <f>D17*Annual_Cycles!C5</f>
        <v>56.048273277184663</v>
      </c>
      <c r="G17" s="200">
        <f>E17*B2*'Interactive Effects'!F60</f>
        <v>0.4200648028782657</v>
      </c>
      <c r="H17" s="192">
        <f>E17*'Interactive Effects'!G60</f>
        <v>706.95541071609318</v>
      </c>
      <c r="I17" s="191">
        <f>F17+E17*'Interactive Effects'!H60</f>
        <v>55.107560695303683</v>
      </c>
      <c r="J17" s="223">
        <f>'Measure UEC'!D27*Annual_Cycles!C5</f>
        <v>19082.694915254237</v>
      </c>
    </row>
    <row r="18" spans="1:10" ht="15" thickBot="1">
      <c r="A18" s="732"/>
      <c r="B18" s="201"/>
      <c r="C18" s="202"/>
      <c r="D18" s="202"/>
      <c r="E18" s="203"/>
      <c r="F18" s="202"/>
      <c r="G18" s="203"/>
      <c r="H18" s="203"/>
      <c r="I18" s="204"/>
    </row>
    <row r="19" spans="1:10" ht="29.25" customHeight="1">
      <c r="A19" s="732"/>
      <c r="B19" s="739" t="s">
        <v>168</v>
      </c>
      <c r="C19" s="741" t="s">
        <v>223</v>
      </c>
      <c r="D19" s="742"/>
      <c r="E19" s="743" t="s">
        <v>224</v>
      </c>
      <c r="F19" s="742"/>
      <c r="G19" s="744" t="s">
        <v>219</v>
      </c>
      <c r="H19" s="745"/>
      <c r="I19" s="746"/>
      <c r="J19" s="220" t="s">
        <v>239</v>
      </c>
    </row>
    <row r="20" spans="1:10">
      <c r="A20" s="732"/>
      <c r="B20" s="740"/>
      <c r="C20" s="205" t="s">
        <v>25</v>
      </c>
      <c r="D20" s="206" t="s">
        <v>220</v>
      </c>
      <c r="E20" s="207" t="s">
        <v>25</v>
      </c>
      <c r="F20" s="206" t="s">
        <v>220</v>
      </c>
      <c r="G20" s="208" t="s">
        <v>221</v>
      </c>
      <c r="H20" s="207" t="s">
        <v>25</v>
      </c>
      <c r="I20" s="206" t="s">
        <v>220</v>
      </c>
      <c r="J20" s="222" t="s">
        <v>230</v>
      </c>
    </row>
    <row r="21" spans="1:10" ht="15" thickBot="1">
      <c r="A21" s="733"/>
      <c r="B21" s="209" t="s">
        <v>121</v>
      </c>
      <c r="C21" s="214">
        <f t="shared" ref="C21:J21" si="1">C16-C17</f>
        <v>0.76531909845788859</v>
      </c>
      <c r="D21" s="215">
        <f t="shared" si="1"/>
        <v>7.7750700777645981E-2</v>
      </c>
      <c r="E21" s="216">
        <f t="shared" si="1"/>
        <v>838.02441281138806</v>
      </c>
      <c r="F21" s="215">
        <f t="shared" si="1"/>
        <v>85.137017351522346</v>
      </c>
      <c r="G21" s="217">
        <f t="shared" si="1"/>
        <v>0.63791670123958144</v>
      </c>
      <c r="H21" s="218">
        <f t="shared" si="1"/>
        <v>1073.5930752526692</v>
      </c>
      <c r="I21" s="219">
        <f t="shared" si="1"/>
        <v>83.708437135002782</v>
      </c>
      <c r="J21" s="224">
        <f t="shared" si="1"/>
        <v>26031.305084745763</v>
      </c>
    </row>
    <row r="22" spans="1:10">
      <c r="B22" s="225"/>
      <c r="C22" s="226"/>
      <c r="D22" s="226"/>
      <c r="E22" s="226"/>
      <c r="F22" s="226"/>
      <c r="J22" s="227"/>
    </row>
  </sheetData>
  <mergeCells count="18">
    <mergeCell ref="A4:A11"/>
    <mergeCell ref="B4:B5"/>
    <mergeCell ref="C4:D4"/>
    <mergeCell ref="E4:F4"/>
    <mergeCell ref="G4:I4"/>
    <mergeCell ref="B9:B10"/>
    <mergeCell ref="C9:D9"/>
    <mergeCell ref="E9:F9"/>
    <mergeCell ref="G9:I9"/>
    <mergeCell ref="A14:A21"/>
    <mergeCell ref="B14:B15"/>
    <mergeCell ref="C14:D14"/>
    <mergeCell ref="E14:F14"/>
    <mergeCell ref="G14:I14"/>
    <mergeCell ref="B19:B20"/>
    <mergeCell ref="C19:D19"/>
    <mergeCell ref="E19:F19"/>
    <mergeCell ref="G19:I1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G9" sqref="G9:I9"/>
    </sheetView>
  </sheetViews>
  <sheetFormatPr defaultRowHeight="14.4"/>
  <cols>
    <col min="1" max="1" width="28.109375" customWidth="1"/>
    <col min="2" max="2" width="17.6640625" customWidth="1"/>
    <col min="3" max="3" width="25.5546875" customWidth="1"/>
    <col min="4" max="4" width="9.33203125" bestFit="1" customWidth="1"/>
    <col min="5" max="5" width="24.88671875" bestFit="1" customWidth="1"/>
    <col min="6" max="6" width="18.5546875" customWidth="1"/>
    <col min="7" max="7" width="26" bestFit="1" customWidth="1"/>
    <col min="8" max="8" width="9.5546875" bestFit="1" customWidth="1"/>
    <col min="9" max="9" width="9.33203125" bestFit="1" customWidth="1"/>
    <col min="10" max="10" width="16.6640625" bestFit="1" customWidth="1"/>
  </cols>
  <sheetData>
    <row r="1" spans="1:10" s="211" customFormat="1" ht="15.6">
      <c r="A1" s="212" t="s">
        <v>327</v>
      </c>
    </row>
    <row r="2" spans="1:10">
      <c r="A2" s="179" t="s">
        <v>216</v>
      </c>
      <c r="B2" s="180">
        <v>6.7031960000000005E-4</v>
      </c>
      <c r="C2" s="181" t="s">
        <v>331</v>
      </c>
    </row>
    <row r="3" spans="1:10" ht="15" thickBot="1"/>
    <row r="4" spans="1:10" ht="31.5" customHeight="1">
      <c r="A4" s="747" t="s">
        <v>227</v>
      </c>
      <c r="B4" s="734"/>
      <c r="C4" s="736" t="s">
        <v>217</v>
      </c>
      <c r="D4" s="737"/>
      <c r="E4" s="736" t="s">
        <v>218</v>
      </c>
      <c r="F4" s="736"/>
      <c r="G4" s="738" t="s">
        <v>229</v>
      </c>
      <c r="H4" s="736"/>
      <c r="I4" s="737"/>
      <c r="J4" s="220" t="s">
        <v>231</v>
      </c>
    </row>
    <row r="5" spans="1:10">
      <c r="A5" s="748"/>
      <c r="B5" s="735"/>
      <c r="C5" s="183" t="s">
        <v>25</v>
      </c>
      <c r="D5" s="184" t="s">
        <v>220</v>
      </c>
      <c r="E5" s="183" t="s">
        <v>25</v>
      </c>
      <c r="F5" s="185" t="s">
        <v>220</v>
      </c>
      <c r="G5" s="186" t="s">
        <v>221</v>
      </c>
      <c r="H5" s="187" t="s">
        <v>25</v>
      </c>
      <c r="I5" s="221" t="s">
        <v>220</v>
      </c>
      <c r="J5" s="222" t="s">
        <v>230</v>
      </c>
    </row>
    <row r="6" spans="1:10">
      <c r="A6" s="748"/>
      <c r="B6" s="189" t="s">
        <v>222</v>
      </c>
      <c r="C6" s="190">
        <f>Title20_UEC!H10</f>
        <v>1.0050429292929295</v>
      </c>
      <c r="D6" s="191">
        <f>Title20_UEC!I10</f>
        <v>0.13949873737373741</v>
      </c>
      <c r="E6" s="213">
        <f>C6*Annual_Cycles!C4</f>
        <v>296.4876641414142</v>
      </c>
      <c r="F6" s="213">
        <f>D6*Annual_Cycles!C4</f>
        <v>41.152127525252538</v>
      </c>
      <c r="G6" s="194">
        <f>G16*(Annual_Cycles!C$4/Annual_Cycles!C$5)/'Interactive Effects'!F$61*'Interactive Effects'!$C61</f>
        <v>0.21283226424565058</v>
      </c>
      <c r="H6" s="192">
        <f>E6*'Interactive Effects'!D61</f>
        <v>410.33892717171722</v>
      </c>
      <c r="I6" s="193">
        <f>F6+E6*'Interactive Effects'!E61</f>
        <v>35.465790614684352</v>
      </c>
      <c r="J6" s="223">
        <f>Title20_UEC!J10*Annual_Cycles!C4</f>
        <v>12154</v>
      </c>
    </row>
    <row r="7" spans="1:10" ht="15" thickBot="1">
      <c r="A7" s="748"/>
      <c r="B7" s="195" t="s">
        <v>168</v>
      </c>
      <c r="C7" s="196">
        <f>'Measure UEC'!E25</f>
        <v>0.40125094696969704</v>
      </c>
      <c r="D7" s="197">
        <f>'Measure UEC'!E26</f>
        <v>5.5299876183838394E-2</v>
      </c>
      <c r="E7" s="198">
        <f>C7*Annual_Cycles!C4</f>
        <v>118.36902935606062</v>
      </c>
      <c r="F7" s="198">
        <f>D7*Annual_Cycles!C4</f>
        <v>16.313463474232325</v>
      </c>
      <c r="G7" s="194">
        <f>G17*(Annual_Cycles!C$4/Annual_Cycles!C$5)/'Interactive Effects'!F$61*'Interactive Effects'!$C62</f>
        <v>8.1939664539761037E-2</v>
      </c>
      <c r="H7" s="198">
        <f>E7*'Interactive Effects'!D61</f>
        <v>163.82273662878788</v>
      </c>
      <c r="I7" s="199">
        <f>F7+E7*'Interactive Effects'!E61</f>
        <v>14.043263860212438</v>
      </c>
      <c r="J7" s="224">
        <f>'Measure UEC'!E27*Annual_Cycles!C4</f>
        <v>5141</v>
      </c>
    </row>
    <row r="8" spans="1:10" ht="15" thickBot="1">
      <c r="A8" s="748"/>
      <c r="B8" s="201"/>
      <c r="C8" s="202"/>
      <c r="D8" s="202"/>
      <c r="E8" s="203"/>
      <c r="F8" s="202"/>
      <c r="G8" s="203"/>
      <c r="H8" s="203"/>
      <c r="I8" s="204"/>
    </row>
    <row r="9" spans="1:10" ht="30.75" customHeight="1">
      <c r="A9" s="748"/>
      <c r="B9" s="739" t="s">
        <v>168</v>
      </c>
      <c r="C9" s="741" t="s">
        <v>223</v>
      </c>
      <c r="D9" s="742"/>
      <c r="E9" s="743" t="s">
        <v>224</v>
      </c>
      <c r="F9" s="742"/>
      <c r="G9" s="744" t="s">
        <v>219</v>
      </c>
      <c r="H9" s="745"/>
      <c r="I9" s="746"/>
      <c r="J9" s="220" t="s">
        <v>239</v>
      </c>
    </row>
    <row r="10" spans="1:10">
      <c r="A10" s="748"/>
      <c r="B10" s="740"/>
      <c r="C10" s="205" t="s">
        <v>25</v>
      </c>
      <c r="D10" s="206" t="s">
        <v>220</v>
      </c>
      <c r="E10" s="207" t="s">
        <v>25</v>
      </c>
      <c r="F10" s="206" t="s">
        <v>220</v>
      </c>
      <c r="G10" s="208" t="s">
        <v>221</v>
      </c>
      <c r="H10" s="207" t="s">
        <v>25</v>
      </c>
      <c r="I10" s="206" t="s">
        <v>220</v>
      </c>
      <c r="J10" s="222" t="s">
        <v>230</v>
      </c>
    </row>
    <row r="11" spans="1:10" ht="15" thickBot="1">
      <c r="A11" s="749"/>
      <c r="B11" s="209" t="s">
        <v>121</v>
      </c>
      <c r="C11" s="214">
        <f t="shared" ref="C11:J11" si="0">C6-C7</f>
        <v>0.6037919823232325</v>
      </c>
      <c r="D11" s="215">
        <f t="shared" si="0"/>
        <v>8.4198861189899027E-2</v>
      </c>
      <c r="E11" s="216">
        <f t="shared" si="0"/>
        <v>178.11863478535358</v>
      </c>
      <c r="F11" s="215">
        <f t="shared" si="0"/>
        <v>24.838664051020213</v>
      </c>
      <c r="G11" s="217">
        <f>G6-G7</f>
        <v>0.13089259970588954</v>
      </c>
      <c r="H11" s="218">
        <f t="shared" si="0"/>
        <v>246.51619054292934</v>
      </c>
      <c r="I11" s="219">
        <f t="shared" si="0"/>
        <v>21.422526754471914</v>
      </c>
      <c r="J11" s="224">
        <f t="shared" si="0"/>
        <v>7013</v>
      </c>
    </row>
    <row r="12" spans="1:10">
      <c r="A12" s="182"/>
      <c r="B12" s="182"/>
      <c r="C12" s="182"/>
      <c r="D12" s="182"/>
      <c r="E12" s="182"/>
      <c r="F12" s="182"/>
      <c r="G12" s="210"/>
      <c r="H12" s="210"/>
      <c r="I12" s="210"/>
    </row>
    <row r="13" spans="1:10" ht="15" thickBot="1">
      <c r="A13" s="182"/>
      <c r="B13" s="182"/>
      <c r="C13" s="182"/>
      <c r="D13" s="182"/>
      <c r="E13" s="182"/>
      <c r="F13" s="182"/>
      <c r="G13" s="182"/>
      <c r="H13" s="182"/>
      <c r="I13" s="182"/>
    </row>
    <row r="14" spans="1:10" ht="30" customHeight="1">
      <c r="A14" s="731" t="s">
        <v>215</v>
      </c>
      <c r="B14" s="734"/>
      <c r="C14" s="736" t="s">
        <v>225</v>
      </c>
      <c r="D14" s="737"/>
      <c r="E14" s="736" t="s">
        <v>226</v>
      </c>
      <c r="F14" s="736"/>
      <c r="G14" s="738" t="s">
        <v>229</v>
      </c>
      <c r="H14" s="736"/>
      <c r="I14" s="737"/>
      <c r="J14" s="220" t="s">
        <v>231</v>
      </c>
    </row>
    <row r="15" spans="1:10">
      <c r="A15" s="732"/>
      <c r="B15" s="735"/>
      <c r="C15" s="183" t="s">
        <v>25</v>
      </c>
      <c r="D15" s="184" t="s">
        <v>220</v>
      </c>
      <c r="E15" s="183" t="s">
        <v>25</v>
      </c>
      <c r="F15" s="185" t="s">
        <v>220</v>
      </c>
      <c r="G15" s="186" t="s">
        <v>221</v>
      </c>
      <c r="H15" s="187" t="s">
        <v>25</v>
      </c>
      <c r="I15" s="188" t="s">
        <v>220</v>
      </c>
      <c r="J15" s="222" t="s">
        <v>230</v>
      </c>
    </row>
    <row r="16" spans="1:10">
      <c r="A16" s="732"/>
      <c r="B16" s="189" t="s">
        <v>222</v>
      </c>
      <c r="C16" s="190">
        <f>Title20_UEC!H10</f>
        <v>1.0050429292929295</v>
      </c>
      <c r="D16" s="191">
        <f>Title20_UEC!I10</f>
        <v>0.13949873737373741</v>
      </c>
      <c r="E16" s="192">
        <f>C16*Annual_Cycles!C5</f>
        <v>1100.5220075757577</v>
      </c>
      <c r="F16" s="193">
        <f>D16*Annual_Cycles!C5</f>
        <v>152.75111742424247</v>
      </c>
      <c r="G16" s="194">
        <f>E16*B2*'Interactive Effects'!F61</f>
        <v>0.8377337915002907</v>
      </c>
      <c r="H16" s="192">
        <f>E16*'Interactive Effects'!G61</f>
        <v>1409.8787439053031</v>
      </c>
      <c r="I16" s="191">
        <f>F16+E16*'Interactive Effects'!H61</f>
        <v>150.87505755792807</v>
      </c>
      <c r="J16" s="223">
        <f>Title20_UEC!J10*Annual_Cycles!C5</f>
        <v>45114</v>
      </c>
    </row>
    <row r="17" spans="1:10" ht="15" thickBot="1">
      <c r="A17" s="732"/>
      <c r="B17" s="195" t="s">
        <v>168</v>
      </c>
      <c r="C17" s="196">
        <f>'Measure UEC'!E25</f>
        <v>0.40125094696969704</v>
      </c>
      <c r="D17" s="197">
        <f>'Measure UEC'!E26</f>
        <v>5.5299876183838394E-2</v>
      </c>
      <c r="E17" s="198">
        <f>C17*Annual_Cycles!C5</f>
        <v>439.36978693181828</v>
      </c>
      <c r="F17" s="199">
        <f>D17*Annual_Cycles!C5</f>
        <v>60.553364421303044</v>
      </c>
      <c r="G17" s="200">
        <f>E17*B2*'Interactive Effects'!F61</f>
        <v>0.33445484501292855</v>
      </c>
      <c r="H17" s="192">
        <f>E17*'Interactive Effects'!G61</f>
        <v>562.87663403835234</v>
      </c>
      <c r="I17" s="191">
        <f>F17+E17*'Interactive Effects'!H61</f>
        <v>59.804370745520373</v>
      </c>
      <c r="J17" s="223">
        <f>'Measure UEC'!E27*Annual_Cycles!C5</f>
        <v>19082.694915254237</v>
      </c>
    </row>
    <row r="18" spans="1:10" ht="15" thickBot="1">
      <c r="A18" s="732"/>
      <c r="B18" s="201"/>
      <c r="C18" s="202"/>
      <c r="D18" s="202"/>
      <c r="E18" s="203"/>
      <c r="F18" s="202"/>
      <c r="G18" s="203"/>
      <c r="H18" s="203"/>
      <c r="I18" s="204"/>
    </row>
    <row r="19" spans="1:10" ht="29.25" customHeight="1">
      <c r="A19" s="732"/>
      <c r="B19" s="739" t="s">
        <v>168</v>
      </c>
      <c r="C19" s="741" t="s">
        <v>223</v>
      </c>
      <c r="D19" s="742"/>
      <c r="E19" s="743" t="s">
        <v>224</v>
      </c>
      <c r="F19" s="742"/>
      <c r="G19" s="744" t="s">
        <v>219</v>
      </c>
      <c r="H19" s="745"/>
      <c r="I19" s="746"/>
      <c r="J19" s="220" t="s">
        <v>239</v>
      </c>
    </row>
    <row r="20" spans="1:10">
      <c r="A20" s="732"/>
      <c r="B20" s="740"/>
      <c r="C20" s="205" t="s">
        <v>25</v>
      </c>
      <c r="D20" s="206" t="s">
        <v>220</v>
      </c>
      <c r="E20" s="207" t="s">
        <v>25</v>
      </c>
      <c r="F20" s="206" t="s">
        <v>220</v>
      </c>
      <c r="G20" s="208" t="s">
        <v>221</v>
      </c>
      <c r="H20" s="207" t="s">
        <v>25</v>
      </c>
      <c r="I20" s="206" t="s">
        <v>220</v>
      </c>
      <c r="J20" s="222" t="s">
        <v>230</v>
      </c>
    </row>
    <row r="21" spans="1:10" ht="15" thickBot="1">
      <c r="A21" s="733"/>
      <c r="B21" s="209" t="s">
        <v>121</v>
      </c>
      <c r="C21" s="214">
        <f t="shared" ref="C21:J21" si="1">C16-C17</f>
        <v>0.6037919823232325</v>
      </c>
      <c r="D21" s="215">
        <f t="shared" si="1"/>
        <v>8.4198861189899027E-2</v>
      </c>
      <c r="E21" s="216">
        <f t="shared" si="1"/>
        <v>661.15222064393947</v>
      </c>
      <c r="F21" s="215">
        <f t="shared" si="1"/>
        <v>92.197753002939422</v>
      </c>
      <c r="G21" s="217">
        <f>G16-G17</f>
        <v>0.50327894648736216</v>
      </c>
      <c r="H21" s="218">
        <f t="shared" si="1"/>
        <v>847.00210986695072</v>
      </c>
      <c r="I21" s="219">
        <f t="shared" si="1"/>
        <v>91.0706868124077</v>
      </c>
      <c r="J21" s="224">
        <f t="shared" si="1"/>
        <v>26031.305084745763</v>
      </c>
    </row>
    <row r="22" spans="1:10">
      <c r="B22" s="225"/>
      <c r="C22" s="226"/>
      <c r="D22" s="226"/>
      <c r="E22" s="226"/>
      <c r="F22" s="226"/>
      <c r="J22" s="227"/>
    </row>
  </sheetData>
  <mergeCells count="18">
    <mergeCell ref="A4:A11"/>
    <mergeCell ref="B4:B5"/>
    <mergeCell ref="C4:D4"/>
    <mergeCell ref="E4:F4"/>
    <mergeCell ref="G4:I4"/>
    <mergeCell ref="B9:B10"/>
    <mergeCell ref="C9:D9"/>
    <mergeCell ref="E9:F9"/>
    <mergeCell ref="G9:I9"/>
    <mergeCell ref="A14:A21"/>
    <mergeCell ref="B14:B15"/>
    <mergeCell ref="C14:D14"/>
    <mergeCell ref="E14:F14"/>
    <mergeCell ref="G14:I14"/>
    <mergeCell ref="B19:B20"/>
    <mergeCell ref="C19:D19"/>
    <mergeCell ref="E19:F19"/>
    <mergeCell ref="G19:I1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G9" sqref="G9:I9"/>
    </sheetView>
  </sheetViews>
  <sheetFormatPr defaultRowHeight="14.4"/>
  <cols>
    <col min="1" max="1" width="28.109375" customWidth="1"/>
    <col min="2" max="2" width="17.6640625" customWidth="1"/>
    <col min="3" max="3" width="25.5546875" customWidth="1"/>
    <col min="4" max="4" width="9.33203125" bestFit="1" customWidth="1"/>
    <col min="5" max="5" width="24.88671875" bestFit="1" customWidth="1"/>
    <col min="6" max="6" width="18.5546875" customWidth="1"/>
    <col min="7" max="7" width="26" bestFit="1" customWidth="1"/>
    <col min="8" max="8" width="9.5546875" bestFit="1" customWidth="1"/>
    <col min="9" max="9" width="9.33203125" bestFit="1" customWidth="1"/>
    <col min="10" max="10" width="16.6640625" bestFit="1" customWidth="1"/>
  </cols>
  <sheetData>
    <row r="1" spans="1:10" s="211" customFormat="1" ht="15.6">
      <c r="A1" s="212" t="s">
        <v>328</v>
      </c>
    </row>
    <row r="2" spans="1:10">
      <c r="A2" s="179" t="s">
        <v>216</v>
      </c>
      <c r="B2" s="180">
        <v>6.7031960000000005E-4</v>
      </c>
      <c r="C2" s="181" t="s">
        <v>329</v>
      </c>
    </row>
    <row r="3" spans="1:10" ht="15" thickBot="1"/>
    <row r="4" spans="1:10" ht="31.5" customHeight="1">
      <c r="A4" s="747" t="s">
        <v>227</v>
      </c>
      <c r="B4" s="734"/>
      <c r="C4" s="736" t="s">
        <v>217</v>
      </c>
      <c r="D4" s="737"/>
      <c r="E4" s="736" t="s">
        <v>218</v>
      </c>
      <c r="F4" s="736"/>
      <c r="G4" s="738" t="s">
        <v>229</v>
      </c>
      <c r="H4" s="736"/>
      <c r="I4" s="737"/>
      <c r="J4" s="220" t="s">
        <v>231</v>
      </c>
    </row>
    <row r="5" spans="1:10">
      <c r="A5" s="748"/>
      <c r="B5" s="735"/>
      <c r="C5" s="183" t="s">
        <v>25</v>
      </c>
      <c r="D5" s="184" t="s">
        <v>220</v>
      </c>
      <c r="E5" s="183" t="s">
        <v>25</v>
      </c>
      <c r="F5" s="185" t="s">
        <v>220</v>
      </c>
      <c r="G5" s="186" t="s">
        <v>221</v>
      </c>
      <c r="H5" s="187" t="s">
        <v>25</v>
      </c>
      <c r="I5" s="221" t="s">
        <v>220</v>
      </c>
      <c r="J5" s="222" t="s">
        <v>230</v>
      </c>
    </row>
    <row r="6" spans="1:10">
      <c r="A6" s="748"/>
      <c r="B6" s="189" t="s">
        <v>222</v>
      </c>
      <c r="C6" s="190">
        <f>Title20_UEC!H13</f>
        <v>1.4199144090108895</v>
      </c>
      <c r="D6" s="191">
        <f>Title20_UEC!I13</f>
        <v>0.1235364782127779</v>
      </c>
      <c r="E6" s="213">
        <f>C6*Annual_Cycles!C4</f>
        <v>418.87475065821241</v>
      </c>
      <c r="F6" s="213">
        <f>D6*Annual_Cycles!C4</f>
        <v>36.443261072769481</v>
      </c>
      <c r="G6" s="194">
        <f>G16*(Annual_Cycles!C$4/Annual_Cycles!C$5)/'Interactive Effects'!F62*'Interactive Effects'!C62</f>
        <v>0.28996145984999255</v>
      </c>
      <c r="H6" s="192">
        <f>E6*'Interactive Effects'!D62</f>
        <v>534.65173174014228</v>
      </c>
      <c r="I6" s="193">
        <f>F6+E6*'Interactive Effects'!E62</f>
        <v>29.068552212680991</v>
      </c>
      <c r="J6" s="223">
        <f>Title20_UEC!J13*Annual_Cycles!C4</f>
        <v>12154</v>
      </c>
    </row>
    <row r="7" spans="1:10" ht="15" thickBot="1">
      <c r="A7" s="748"/>
      <c r="B7" s="195" t="s">
        <v>168</v>
      </c>
      <c r="C7" s="196">
        <f>'Measure UEC'!F25</f>
        <v>0.55411463802209093</v>
      </c>
      <c r="D7" s="197">
        <f>'Measure UEC'!F26</f>
        <v>4.941631250966988E-2</v>
      </c>
      <c r="E7" s="198">
        <f>C7*Annual_Cycles!C4</f>
        <v>163.46381821651681</v>
      </c>
      <c r="F7" s="198">
        <f>D7*Annual_Cycles!C4</f>
        <v>14.577812190352615</v>
      </c>
      <c r="G7" s="194">
        <f>G17*(Annual_Cycles!C$4/Annual_Cycles!C$5)/'Interactive Effects'!F62*'Interactive Effects'!C62</f>
        <v>0.113156038381961</v>
      </c>
      <c r="H7" s="198">
        <f>E7*'Interactive Effects'!D62</f>
        <v>208.64521757156206</v>
      </c>
      <c r="I7" s="199">
        <f>F7+E7*'Interactive Effects'!E62</f>
        <v>11.699868206832621</v>
      </c>
      <c r="J7" s="224">
        <f>'Measure UEC'!F27*Annual_Cycles!C4</f>
        <v>5141</v>
      </c>
    </row>
    <row r="8" spans="1:10" ht="15" thickBot="1">
      <c r="A8" s="748"/>
      <c r="B8" s="201"/>
      <c r="C8" s="202"/>
      <c r="D8" s="202"/>
      <c r="E8" s="203"/>
      <c r="F8" s="202"/>
      <c r="G8" s="203"/>
      <c r="H8" s="203"/>
      <c r="I8" s="204"/>
    </row>
    <row r="9" spans="1:10" ht="30.75" customHeight="1">
      <c r="A9" s="748"/>
      <c r="B9" s="739" t="s">
        <v>168</v>
      </c>
      <c r="C9" s="741" t="s">
        <v>223</v>
      </c>
      <c r="D9" s="742"/>
      <c r="E9" s="743" t="s">
        <v>224</v>
      </c>
      <c r="F9" s="742"/>
      <c r="G9" s="744" t="s">
        <v>219</v>
      </c>
      <c r="H9" s="745"/>
      <c r="I9" s="746"/>
      <c r="J9" s="220" t="s">
        <v>239</v>
      </c>
    </row>
    <row r="10" spans="1:10">
      <c r="A10" s="748"/>
      <c r="B10" s="740"/>
      <c r="C10" s="205" t="s">
        <v>25</v>
      </c>
      <c r="D10" s="206" t="s">
        <v>220</v>
      </c>
      <c r="E10" s="207" t="s">
        <v>25</v>
      </c>
      <c r="F10" s="206" t="s">
        <v>220</v>
      </c>
      <c r="G10" s="208" t="s">
        <v>221</v>
      </c>
      <c r="H10" s="207" t="s">
        <v>25</v>
      </c>
      <c r="I10" s="206" t="s">
        <v>220</v>
      </c>
      <c r="J10" s="222" t="s">
        <v>230</v>
      </c>
    </row>
    <row r="11" spans="1:10" ht="15" thickBot="1">
      <c r="A11" s="749"/>
      <c r="B11" s="209" t="s">
        <v>121</v>
      </c>
      <c r="C11" s="214">
        <f t="shared" ref="C11:J11" si="0">C6-C7</f>
        <v>0.86579977098879857</v>
      </c>
      <c r="D11" s="215">
        <f t="shared" si="0"/>
        <v>7.4120165703108018E-2</v>
      </c>
      <c r="E11" s="216">
        <f t="shared" si="0"/>
        <v>255.41093244169559</v>
      </c>
      <c r="F11" s="215">
        <f t="shared" si="0"/>
        <v>21.865448882416864</v>
      </c>
      <c r="G11" s="217">
        <f>G6-G7</f>
        <v>0.17680542146803155</v>
      </c>
      <c r="H11" s="218">
        <f t="shared" si="0"/>
        <v>326.00651416858022</v>
      </c>
      <c r="I11" s="219">
        <f t="shared" si="0"/>
        <v>17.368684005848372</v>
      </c>
      <c r="J11" s="224">
        <f t="shared" si="0"/>
        <v>7013</v>
      </c>
    </row>
    <row r="12" spans="1:10">
      <c r="A12" s="182"/>
      <c r="B12" s="182"/>
      <c r="C12" s="182"/>
      <c r="D12" s="182"/>
      <c r="E12" s="182"/>
      <c r="F12" s="182"/>
      <c r="G12" s="210"/>
      <c r="H12" s="210"/>
      <c r="I12" s="210"/>
    </row>
    <row r="13" spans="1:10" ht="15" thickBot="1">
      <c r="A13" s="182"/>
      <c r="B13" s="182"/>
      <c r="C13" s="182"/>
      <c r="D13" s="182"/>
      <c r="E13" s="182"/>
      <c r="F13" s="182"/>
      <c r="G13" s="182"/>
      <c r="H13" s="182"/>
      <c r="I13" s="182"/>
    </row>
    <row r="14" spans="1:10" ht="30" customHeight="1">
      <c r="A14" s="731" t="s">
        <v>215</v>
      </c>
      <c r="B14" s="734"/>
      <c r="C14" s="736" t="s">
        <v>225</v>
      </c>
      <c r="D14" s="737"/>
      <c r="E14" s="736" t="s">
        <v>226</v>
      </c>
      <c r="F14" s="736"/>
      <c r="G14" s="738" t="s">
        <v>229</v>
      </c>
      <c r="H14" s="736"/>
      <c r="I14" s="737"/>
      <c r="J14" s="220" t="s">
        <v>231</v>
      </c>
    </row>
    <row r="15" spans="1:10">
      <c r="A15" s="732"/>
      <c r="B15" s="735"/>
      <c r="C15" s="183" t="s">
        <v>25</v>
      </c>
      <c r="D15" s="184" t="s">
        <v>220</v>
      </c>
      <c r="E15" s="183" t="s">
        <v>25</v>
      </c>
      <c r="F15" s="185" t="s">
        <v>220</v>
      </c>
      <c r="G15" s="186" t="s">
        <v>221</v>
      </c>
      <c r="H15" s="187" t="s">
        <v>25</v>
      </c>
      <c r="I15" s="188" t="s">
        <v>220</v>
      </c>
      <c r="J15" s="222" t="s">
        <v>230</v>
      </c>
    </row>
    <row r="16" spans="1:10">
      <c r="A16" s="732"/>
      <c r="B16" s="189" t="s">
        <v>222</v>
      </c>
      <c r="C16" s="190">
        <f>Title20_UEC!H13</f>
        <v>1.4199144090108895</v>
      </c>
      <c r="D16" s="191">
        <f>Title20_UEC!I13</f>
        <v>0.1235364782127779</v>
      </c>
      <c r="E16" s="192">
        <f>C16*Annual_Cycles!C5</f>
        <v>1554.8062778669239</v>
      </c>
      <c r="F16" s="193">
        <f>D16*Annual_Cycles!C5</f>
        <v>135.27244364299179</v>
      </c>
      <c r="G16" s="194">
        <f>E16*B2*'Interactive Effects'!F62</f>
        <v>1.1960483695024147</v>
      </c>
      <c r="H16" s="192">
        <f>E16*'Interactive Effects'!G62</f>
        <v>1945.995537378242</v>
      </c>
      <c r="I16" s="191">
        <f>F16+E16*'Interactive Effects'!H62</f>
        <v>134.66128039128785</v>
      </c>
      <c r="J16" s="223">
        <f>Title20_UEC!J13*Annual_Cycles!C5</f>
        <v>45114</v>
      </c>
    </row>
    <row r="17" spans="1:10" ht="15" thickBot="1">
      <c r="A17" s="732"/>
      <c r="B17" s="195" t="s">
        <v>168</v>
      </c>
      <c r="C17" s="196">
        <f>'Measure UEC'!F25</f>
        <v>0.55411463802209093</v>
      </c>
      <c r="D17" s="197">
        <f>'Measure UEC'!F26</f>
        <v>4.941631250966988E-2</v>
      </c>
      <c r="E17" s="198">
        <f>C17*Annual_Cycles!C5</f>
        <v>606.75552863418955</v>
      </c>
      <c r="F17" s="199">
        <f>D17*Annual_Cycles!C5</f>
        <v>54.110862198088519</v>
      </c>
      <c r="G17" s="200">
        <f>E17*B2*'Interactive Effects'!F62</f>
        <v>0.46675201344383282</v>
      </c>
      <c r="H17" s="192">
        <f>E17*'Interactive Effects'!G62</f>
        <v>759.41521963855166</v>
      </c>
      <c r="I17" s="191">
        <f>F17+E17*'Interactive Effects'!H62</f>
        <v>53.872358734892991</v>
      </c>
      <c r="J17" s="223">
        <f>'Measure UEC'!F27*Annual_Cycles!C5</f>
        <v>19082.694915254237</v>
      </c>
    </row>
    <row r="18" spans="1:10" ht="15" thickBot="1">
      <c r="A18" s="732"/>
      <c r="B18" s="201"/>
      <c r="C18" s="202"/>
      <c r="D18" s="202"/>
      <c r="E18" s="203"/>
      <c r="F18" s="202"/>
      <c r="G18" s="203"/>
      <c r="H18" s="203"/>
      <c r="I18" s="204"/>
    </row>
    <row r="19" spans="1:10" ht="29.25" customHeight="1">
      <c r="A19" s="732"/>
      <c r="B19" s="739" t="s">
        <v>168</v>
      </c>
      <c r="C19" s="741" t="s">
        <v>223</v>
      </c>
      <c r="D19" s="742"/>
      <c r="E19" s="743" t="s">
        <v>224</v>
      </c>
      <c r="F19" s="742"/>
      <c r="G19" s="744" t="s">
        <v>219</v>
      </c>
      <c r="H19" s="745"/>
      <c r="I19" s="746"/>
      <c r="J19" s="220" t="s">
        <v>239</v>
      </c>
    </row>
    <row r="20" spans="1:10">
      <c r="A20" s="732"/>
      <c r="B20" s="740"/>
      <c r="C20" s="205" t="s">
        <v>25</v>
      </c>
      <c r="D20" s="206" t="s">
        <v>220</v>
      </c>
      <c r="E20" s="207" t="s">
        <v>25</v>
      </c>
      <c r="F20" s="206" t="s">
        <v>220</v>
      </c>
      <c r="G20" s="208" t="s">
        <v>221</v>
      </c>
      <c r="H20" s="207" t="s">
        <v>25</v>
      </c>
      <c r="I20" s="206" t="s">
        <v>220</v>
      </c>
      <c r="J20" s="222" t="s">
        <v>230</v>
      </c>
    </row>
    <row r="21" spans="1:10" ht="15" thickBot="1">
      <c r="A21" s="733"/>
      <c r="B21" s="209" t="s">
        <v>121</v>
      </c>
      <c r="C21" s="214">
        <f t="shared" ref="C21:J21" si="1">C16-C17</f>
        <v>0.86579977098879857</v>
      </c>
      <c r="D21" s="215">
        <f t="shared" si="1"/>
        <v>7.4120165703108018E-2</v>
      </c>
      <c r="E21" s="216">
        <f t="shared" si="1"/>
        <v>948.05074923273435</v>
      </c>
      <c r="F21" s="215">
        <f t="shared" si="1"/>
        <v>81.161581444903277</v>
      </c>
      <c r="G21" s="217">
        <f t="shared" si="1"/>
        <v>0.7292963560585819</v>
      </c>
      <c r="H21" s="218">
        <f t="shared" si="1"/>
        <v>1186.5803177396904</v>
      </c>
      <c r="I21" s="219">
        <f t="shared" si="1"/>
        <v>80.788921656394848</v>
      </c>
      <c r="J21" s="224">
        <f t="shared" si="1"/>
        <v>26031.305084745763</v>
      </c>
    </row>
    <row r="22" spans="1:10">
      <c r="B22" s="225"/>
      <c r="C22" s="226"/>
      <c r="D22" s="226"/>
      <c r="E22" s="226"/>
      <c r="F22" s="226"/>
      <c r="J22" s="227"/>
    </row>
  </sheetData>
  <mergeCells count="18">
    <mergeCell ref="A4:A11"/>
    <mergeCell ref="B4:B5"/>
    <mergeCell ref="C4:D4"/>
    <mergeCell ref="E4:F4"/>
    <mergeCell ref="G4:I4"/>
    <mergeCell ref="B9:B10"/>
    <mergeCell ref="C9:D9"/>
    <mergeCell ref="E9:F9"/>
    <mergeCell ref="G9:I9"/>
    <mergeCell ref="A14:A21"/>
    <mergeCell ref="B14:B15"/>
    <mergeCell ref="C14:D14"/>
    <mergeCell ref="E14:F14"/>
    <mergeCell ref="G14:I14"/>
    <mergeCell ref="B19:B20"/>
    <mergeCell ref="C19:D19"/>
    <mergeCell ref="E19:F19"/>
    <mergeCell ref="G19:I1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opLeftCell="A4" workbookViewId="0">
      <selection activeCell="I9" sqref="I9"/>
    </sheetView>
  </sheetViews>
  <sheetFormatPr defaultRowHeight="14.4"/>
  <sheetData/>
  <pageMargins left="0.7" right="0.7" top="0.75" bottom="0.75" header="0.3" footer="0.3"/>
  <pageSetup scale="7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I9" sqref="I9"/>
    </sheetView>
  </sheetViews>
  <sheetFormatPr defaultRowHeight="14.4"/>
  <cols>
    <col min="2" max="2" width="25.6640625" customWidth="1"/>
    <col min="3" max="3" width="17.88671875" customWidth="1"/>
    <col min="4" max="4" width="22.33203125" customWidth="1"/>
    <col min="5" max="5" width="17.5546875" customWidth="1"/>
    <col min="6" max="6" width="24.5546875" customWidth="1"/>
    <col min="7" max="7" width="16.6640625" customWidth="1"/>
    <col min="8" max="8" width="26.109375" customWidth="1"/>
    <col min="9" max="9" width="20.44140625" customWidth="1"/>
  </cols>
  <sheetData>
    <row r="1" spans="1:7">
      <c r="B1" s="10" t="s">
        <v>113</v>
      </c>
      <c r="C1" t="s">
        <v>117</v>
      </c>
    </row>
    <row r="2" spans="1:7">
      <c r="B2" s="44" t="s">
        <v>114</v>
      </c>
      <c r="C2" s="46">
        <v>0.5</v>
      </c>
    </row>
    <row r="3" spans="1:7">
      <c r="B3" s="44" t="s">
        <v>115</v>
      </c>
      <c r="C3" s="46">
        <v>0.25</v>
      </c>
    </row>
    <row r="4" spans="1:7">
      <c r="B4" s="44" t="s">
        <v>116</v>
      </c>
      <c r="C4" s="46">
        <v>0.25</v>
      </c>
    </row>
    <row r="7" spans="1:7" ht="15" customHeight="1">
      <c r="B7" s="760" t="s">
        <v>110</v>
      </c>
      <c r="C7" s="750" t="s">
        <v>303</v>
      </c>
      <c r="D7" s="756" t="s">
        <v>111</v>
      </c>
      <c r="E7" s="750" t="s">
        <v>303</v>
      </c>
      <c r="F7" s="760" t="s">
        <v>112</v>
      </c>
      <c r="G7" s="750" t="s">
        <v>303</v>
      </c>
    </row>
    <row r="8" spans="1:7" ht="15" thickBot="1">
      <c r="B8" s="756"/>
      <c r="C8" s="751"/>
      <c r="D8" s="757"/>
      <c r="E8" s="751"/>
      <c r="F8" s="756"/>
      <c r="G8" s="751"/>
    </row>
    <row r="9" spans="1:7">
      <c r="A9" s="752" t="s">
        <v>14</v>
      </c>
      <c r="B9" s="266" t="s">
        <v>76</v>
      </c>
      <c r="C9" s="267">
        <v>0</v>
      </c>
      <c r="D9" s="266" t="s">
        <v>76</v>
      </c>
      <c r="E9" s="267">
        <f>Title20_UEC!H5</f>
        <v>1.247207564160288</v>
      </c>
      <c r="F9" s="266" t="s">
        <v>76</v>
      </c>
      <c r="G9" s="267">
        <f>Title20_UEC!H4</f>
        <v>2.4001936064835663</v>
      </c>
    </row>
    <row r="10" spans="1:7">
      <c r="A10" s="753"/>
      <c r="B10" s="44" t="s">
        <v>77</v>
      </c>
      <c r="C10" s="265">
        <v>0</v>
      </c>
      <c r="D10" s="44" t="s">
        <v>77</v>
      </c>
      <c r="E10" s="265">
        <f>Title20_UEC!I5</f>
        <v>5.6930484329581268E-2</v>
      </c>
      <c r="F10" s="44" t="s">
        <v>77</v>
      </c>
      <c r="G10" s="265">
        <f>Title20_UEC!I4</f>
        <v>8.6076091850517789E-2</v>
      </c>
    </row>
    <row r="11" spans="1:7" ht="15" thickBot="1">
      <c r="A11" s="754"/>
      <c r="B11" s="270" t="s">
        <v>78</v>
      </c>
      <c r="C11" s="271">
        <v>0</v>
      </c>
      <c r="D11" s="270" t="s">
        <v>78</v>
      </c>
      <c r="E11" s="271">
        <f>Title20_UEC!J5</f>
        <v>28.508474576271187</v>
      </c>
      <c r="F11" s="270" t="s">
        <v>78</v>
      </c>
      <c r="G11" s="271">
        <f>Title20_UEC!J4</f>
        <v>41.2</v>
      </c>
    </row>
    <row r="12" spans="1:7">
      <c r="A12" s="752" t="s">
        <v>16</v>
      </c>
      <c r="B12" s="266" t="s">
        <v>76</v>
      </c>
      <c r="C12" s="267">
        <v>0</v>
      </c>
      <c r="D12" s="266" t="s">
        <v>76</v>
      </c>
      <c r="E12" s="267">
        <f>Title20_UEC!H8</f>
        <v>0.74655674179517595</v>
      </c>
      <c r="F12" s="266" t="s">
        <v>76</v>
      </c>
      <c r="G12" s="267">
        <f>Title20_UEC!H7</f>
        <v>1.2692777118755767</v>
      </c>
    </row>
    <row r="13" spans="1:7">
      <c r="A13" s="753"/>
      <c r="B13" s="44" t="s">
        <v>77</v>
      </c>
      <c r="C13" s="265">
        <v>0</v>
      </c>
      <c r="D13" s="44" t="s">
        <v>77</v>
      </c>
      <c r="E13" s="265">
        <f>Title20_UEC!I8</f>
        <v>7.5806212310531168E-2</v>
      </c>
      <c r="F13" s="44" t="s">
        <v>77</v>
      </c>
      <c r="G13" s="265">
        <f>Title20_UEC!I7</f>
        <v>0.12893633847370503</v>
      </c>
    </row>
    <row r="14" spans="1:7" ht="15" thickBot="1">
      <c r="A14" s="755"/>
      <c r="B14" s="268" t="s">
        <v>78</v>
      </c>
      <c r="C14" s="269">
        <v>0</v>
      </c>
      <c r="D14" s="268" t="s">
        <v>78</v>
      </c>
      <c r="E14" s="269">
        <f>Title20_UEC!J8</f>
        <v>28.508474576271187</v>
      </c>
      <c r="F14" s="268" t="s">
        <v>78</v>
      </c>
      <c r="G14" s="269">
        <f>Title20_UEC!J7</f>
        <v>41.2</v>
      </c>
    </row>
    <row r="15" spans="1:7">
      <c r="A15" s="752" t="s">
        <v>301</v>
      </c>
      <c r="B15" s="266" t="s">
        <v>76</v>
      </c>
      <c r="C15" s="267">
        <v>0</v>
      </c>
      <c r="D15" s="266" t="s">
        <v>76</v>
      </c>
      <c r="E15" s="267">
        <f>Title20_UEC!H11</f>
        <v>0.59996085858585868</v>
      </c>
      <c r="F15" s="266" t="s">
        <v>76</v>
      </c>
      <c r="G15" s="267">
        <f>Title20_UEC!H10</f>
        <v>1.0050429292929295</v>
      </c>
    </row>
    <row r="16" spans="1:7">
      <c r="A16" s="753"/>
      <c r="B16" s="44" t="s">
        <v>77</v>
      </c>
      <c r="C16" s="265">
        <v>0</v>
      </c>
      <c r="D16" s="44" t="s">
        <v>77</v>
      </c>
      <c r="E16" s="265">
        <f>Title20_UEC!I11</f>
        <v>8.1700767361616161E-2</v>
      </c>
      <c r="F16" s="44" t="s">
        <v>77</v>
      </c>
      <c r="G16" s="265">
        <f>Title20_UEC!I10</f>
        <v>0.13949873737373741</v>
      </c>
    </row>
    <row r="17" spans="1:7" ht="15" thickBot="1">
      <c r="A17" s="755"/>
      <c r="B17" s="268" t="s">
        <v>78</v>
      </c>
      <c r="C17" s="269">
        <v>0</v>
      </c>
      <c r="D17" s="268" t="s">
        <v>78</v>
      </c>
      <c r="E17" s="269">
        <f>Title20_UEC!J11</f>
        <v>28.508474576271187</v>
      </c>
      <c r="F17" s="268" t="s">
        <v>78</v>
      </c>
      <c r="G17" s="269">
        <f>Title20_UEC!J10</f>
        <v>41.2</v>
      </c>
    </row>
    <row r="18" spans="1:7">
      <c r="A18" s="752" t="s">
        <v>15</v>
      </c>
      <c r="B18" s="266" t="s">
        <v>76</v>
      </c>
      <c r="C18" s="267">
        <v>0</v>
      </c>
      <c r="D18" s="266" t="s">
        <v>76</v>
      </c>
      <c r="E18" s="267">
        <f>Title20_UEC!H14</f>
        <v>0.79654414307747434</v>
      </c>
      <c r="F18" s="266" t="s">
        <v>76</v>
      </c>
      <c r="G18" s="267">
        <f>Title20_UEC!H13</f>
        <v>1.4199144090108895</v>
      </c>
    </row>
    <row r="19" spans="1:7">
      <c r="A19" s="753"/>
      <c r="B19" s="44" t="s">
        <v>77</v>
      </c>
      <c r="C19" s="265">
        <v>0</v>
      </c>
      <c r="D19" s="44" t="s">
        <v>77</v>
      </c>
      <c r="E19" s="265">
        <f>Title20_UEC!I14</f>
        <v>7.4128771825901621E-2</v>
      </c>
      <c r="F19" s="44" t="s">
        <v>77</v>
      </c>
      <c r="G19" s="265">
        <f>Title20_UEC!I13</f>
        <v>0.1235364782127779</v>
      </c>
    </row>
    <row r="20" spans="1:7" ht="15" thickBot="1">
      <c r="A20" s="755"/>
      <c r="B20" s="268" t="s">
        <v>78</v>
      </c>
      <c r="C20" s="269">
        <v>0</v>
      </c>
      <c r="D20" s="268" t="s">
        <v>78</v>
      </c>
      <c r="E20" s="269">
        <f>Title20_UEC!J14</f>
        <v>28.508474576271187</v>
      </c>
      <c r="F20" s="268" t="s">
        <v>78</v>
      </c>
      <c r="G20" s="269">
        <f>Title20_UEC!J13</f>
        <v>41.2</v>
      </c>
    </row>
    <row r="23" spans="1:7">
      <c r="B23" s="758" t="s">
        <v>228</v>
      </c>
      <c r="C23" s="761" t="s">
        <v>303</v>
      </c>
      <c r="D23" s="761"/>
      <c r="E23" s="761"/>
      <c r="F23" s="761"/>
    </row>
    <row r="24" spans="1:7">
      <c r="B24" s="759"/>
      <c r="C24" s="24" t="s">
        <v>14</v>
      </c>
      <c r="D24" s="46" t="s">
        <v>16</v>
      </c>
      <c r="E24" s="46" t="s">
        <v>301</v>
      </c>
      <c r="F24" s="46" t="s">
        <v>15</v>
      </c>
    </row>
    <row r="25" spans="1:7">
      <c r="B25" s="44" t="s">
        <v>76</v>
      </c>
      <c r="C25" s="265">
        <f>(C9*$C$2)+(E9*$C$3)+(G9*$C$4)</f>
        <v>0.91185029266096351</v>
      </c>
      <c r="D25" s="265">
        <f>(C12*$C$2)+(E12*$C$3)+(G12*$C$4)</f>
        <v>0.50395861341768811</v>
      </c>
      <c r="E25" s="265">
        <f>(C15*$C$2)+(E15*$C$3)+(G15*$C$4)</f>
        <v>0.40125094696969704</v>
      </c>
      <c r="F25" s="265">
        <f>(C18*$C$2)+(E18*$C$3)+(G18*$C$4)</f>
        <v>0.55411463802209093</v>
      </c>
    </row>
    <row r="26" spans="1:7">
      <c r="B26" s="44" t="s">
        <v>77</v>
      </c>
      <c r="C26" s="265">
        <f>(C10*$C$2)+(E10*$C$3)+(G10*$C$4)</f>
        <v>3.5751644045024761E-2</v>
      </c>
      <c r="D26" s="265">
        <f>(C13*$C$2)+(E13*$C$3)+(G13*$C$4)</f>
        <v>5.118563769605905E-2</v>
      </c>
      <c r="E26" s="265">
        <f>(C16*$C$2)+(E16*$C$3)+(G16*$C$4)</f>
        <v>5.5299876183838394E-2</v>
      </c>
      <c r="F26" s="265">
        <f>(C19*$C$2)+(E19*$C$3)+(G19*$C$4)</f>
        <v>4.941631250966988E-2</v>
      </c>
    </row>
    <row r="27" spans="1:7">
      <c r="B27" s="44" t="s">
        <v>78</v>
      </c>
      <c r="C27" s="96">
        <f>(C11*$C$2)+(E11*$C$3)+(G11*$C$4)</f>
        <v>17.427118644067797</v>
      </c>
      <c r="D27" s="96">
        <f>(C14*$C$2)+(E14*$C$3)+(G14*$C$4)</f>
        <v>17.427118644067797</v>
      </c>
      <c r="E27" s="96">
        <f>(C17*$C$2)+(E17*$C$3)+(G17*$C$4)</f>
        <v>17.427118644067797</v>
      </c>
      <c r="F27" s="97">
        <f>(C20*$C$2)+(E20*$C$3)+(G20*$C$4)</f>
        <v>17.427118644067797</v>
      </c>
    </row>
  </sheetData>
  <mergeCells count="12">
    <mergeCell ref="B23:B24"/>
    <mergeCell ref="B7:B8"/>
    <mergeCell ref="F7:F8"/>
    <mergeCell ref="C7:C8"/>
    <mergeCell ref="E7:E8"/>
    <mergeCell ref="C23:F23"/>
    <mergeCell ref="G7:G8"/>
    <mergeCell ref="A9:A11"/>
    <mergeCell ref="A12:A14"/>
    <mergeCell ref="A15:A17"/>
    <mergeCell ref="A18:A20"/>
    <mergeCell ref="D7:D8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workbookViewId="0">
      <selection activeCell="I9" sqref="I9"/>
    </sheetView>
  </sheetViews>
  <sheetFormatPr defaultRowHeight="14.4"/>
  <cols>
    <col min="10" max="10" width="12" customWidth="1"/>
    <col min="22" max="22" width="11" customWidth="1"/>
    <col min="26" max="26" width="11.109375" bestFit="1" customWidth="1"/>
    <col min="27" max="27" width="17.44140625" bestFit="1" customWidth="1"/>
    <col min="28" max="28" width="16.44140625" customWidth="1"/>
  </cols>
  <sheetData>
    <row r="1" spans="1:28" ht="15" thickBot="1">
      <c r="B1" s="33" t="s">
        <v>302</v>
      </c>
      <c r="C1" s="34"/>
      <c r="D1" s="34"/>
      <c r="E1" s="34"/>
      <c r="F1" s="34"/>
      <c r="G1" s="34"/>
      <c r="L1" s="33" t="s">
        <v>27</v>
      </c>
      <c r="M1" s="34"/>
      <c r="N1" s="34"/>
      <c r="O1" s="34"/>
      <c r="P1" s="34"/>
      <c r="Q1" s="34"/>
    </row>
    <row r="2" spans="1:28" ht="39.75" customHeight="1" thickTop="1">
      <c r="B2" s="460"/>
      <c r="C2" s="740" t="s">
        <v>28</v>
      </c>
      <c r="D2" s="740"/>
      <c r="E2" s="740"/>
      <c r="F2" s="740"/>
      <c r="G2" s="740"/>
      <c r="H2" s="762"/>
      <c r="I2" s="762"/>
      <c r="J2" s="272" t="s">
        <v>59</v>
      </c>
      <c r="L2" s="785"/>
      <c r="M2" s="787" t="s">
        <v>28</v>
      </c>
      <c r="N2" s="788"/>
      <c r="O2" s="788"/>
      <c r="P2" s="788"/>
      <c r="Q2" s="789"/>
    </row>
    <row r="3" spans="1:28" ht="40.799999999999997" thickBot="1">
      <c r="B3" s="461"/>
      <c r="C3" s="462" t="s">
        <v>29</v>
      </c>
      <c r="D3" s="463" t="s">
        <v>30</v>
      </c>
      <c r="E3" s="464" t="s">
        <v>31</v>
      </c>
      <c r="F3" s="462" t="s">
        <v>32</v>
      </c>
      <c r="G3" s="464" t="s">
        <v>33</v>
      </c>
      <c r="H3" s="468" t="s">
        <v>42</v>
      </c>
      <c r="I3" s="469" t="s">
        <v>43</v>
      </c>
      <c r="J3" s="469" t="s">
        <v>304</v>
      </c>
      <c r="L3" s="786"/>
      <c r="M3" s="35" t="s">
        <v>29</v>
      </c>
      <c r="N3" s="36" t="s">
        <v>30</v>
      </c>
      <c r="O3" s="37" t="s">
        <v>31</v>
      </c>
      <c r="P3" s="36" t="s">
        <v>32</v>
      </c>
      <c r="Q3" s="37" t="s">
        <v>33</v>
      </c>
      <c r="R3" s="458" t="s">
        <v>42</v>
      </c>
      <c r="S3" s="49" t="s">
        <v>43</v>
      </c>
    </row>
    <row r="4" spans="1:28" ht="15" thickTop="1">
      <c r="A4" s="763" t="s">
        <v>14</v>
      </c>
      <c r="B4" s="465" t="s">
        <v>34</v>
      </c>
      <c r="C4" s="466">
        <f>(M4*'2009 RASS'!$E$36)+(M10*'2009 RASS'!$E$35)+(Title20_UEC!M16*'2009 RASS'!$D$36)+(Title20_UEC!M22*'2009 RASS'!$D$35)</f>
        <v>0.21</v>
      </c>
      <c r="D4" s="466">
        <f>(N4*'2009 RASS'!$E$36)+(N10*'2009 RASS'!$E$35)+(Title20_UEC!N16*'2009 RASS'!$D$36)+(Title20_UEC!N22*'2009 RASS'!$D$35)</f>
        <v>2.1793561458802344</v>
      </c>
      <c r="E4" s="466">
        <f>(O4*'2009 RASS'!$E$36)+(O10*'2009 RASS'!$E$35)+(Title20_UEC!O16*'2009 RASS'!$D$36)+(Title20_UEC!O22*'2009 RASS'!$D$35)</f>
        <v>5.6636650157586683E-2</v>
      </c>
      <c r="F4" s="466">
        <f>(P4*'2009 RASS'!$E$36)+(P10*'2009 RASS'!$E$35)+(Title20_UEC!P16*'2009 RASS'!$D$36)+(Title20_UEC!P22*'2009 RASS'!$D$35)</f>
        <v>1.0837460603331833E-2</v>
      </c>
      <c r="G4" s="467">
        <f>(Q4*'2009 RASS'!$E$36)+(Q10*'2009 RASS'!$E$35)+(Title20_UEC!Q16*'2009 RASS'!$D$36)+(Title20_UEC!Q22*'2009 RASS'!$D$35)</f>
        <v>2.9439441692931112E-2</v>
      </c>
      <c r="H4" s="470">
        <f>SUM(C4,D4,F4)</f>
        <v>2.4001936064835663</v>
      </c>
      <c r="I4" s="470">
        <f>SUM(E4,G4)</f>
        <v>8.6076091850517789E-2</v>
      </c>
      <c r="J4" s="471">
        <f>Baseline_UEC!F12</f>
        <v>41.2</v>
      </c>
      <c r="L4" s="38" t="s">
        <v>34</v>
      </c>
      <c r="M4" s="39">
        <f>Baseline_UEC!F7</f>
        <v>0.21</v>
      </c>
      <c r="N4" s="40">
        <f>Baseline_UEC!E7</f>
        <v>3.66</v>
      </c>
      <c r="O4" s="56">
        <v>0</v>
      </c>
      <c r="P4" s="53">
        <f>Baseline_UEC!C7</f>
        <v>0.57999999999999996</v>
      </c>
      <c r="Q4" s="56">
        <v>0</v>
      </c>
      <c r="R4" s="47">
        <f>SUM(M4,N4,P4)</f>
        <v>4.45</v>
      </c>
      <c r="S4" s="87">
        <f>SUM(O4,Q4)</f>
        <v>0</v>
      </c>
    </row>
    <row r="5" spans="1:28" ht="15" thickBot="1">
      <c r="A5" s="764"/>
      <c r="B5" s="262" t="s">
        <v>125</v>
      </c>
      <c r="C5" s="52">
        <f>(M5*'2009 RASS'!$E$36)+(M11*'2009 RASS'!$E$35)+(Title20_UEC!M17*'2009 RASS'!$D$36)+(Title20_UEC!M23*'2009 RASS'!$D$35)</f>
        <v>0.22800000000000004</v>
      </c>
      <c r="D5" s="52">
        <f>(N5*'2009 RASS'!$E$36)+(N11*'2009 RASS'!$E$35)+(Title20_UEC!N17*'2009 RASS'!$D$36)+(Title20_UEC!N23*'2009 RASS'!$D$35)</f>
        <v>1.0063147230977036</v>
      </c>
      <c r="E5" s="52">
        <f>(O5*'2009 RASS'!$E$36)+(O11*'2009 RASS'!$E$35)+(Title20_UEC!O17*'2009 RASS'!$D$36)+(Title20_UEC!O23*'2009 RASS'!$D$35)</f>
        <v>2.6126622645655115E-2</v>
      </c>
      <c r="F5" s="52">
        <f>(P5*'2009 RASS'!$E$36)+(P11*'2009 RASS'!$E$35)+(Title20_UEC!P17*'2009 RASS'!$D$36)+(Title20_UEC!P23*'2009 RASS'!$D$35)</f>
        <v>1.2892841062584422E-2</v>
      </c>
      <c r="G5" s="273">
        <f>(Q5*'2009 RASS'!$E$36)+(Q11*'2009 RASS'!$E$35)+(Title20_UEC!Q17*'2009 RASS'!$D$36)+(Title20_UEC!Q23*'2009 RASS'!$D$35)</f>
        <v>3.0803861683926154E-2</v>
      </c>
      <c r="H5" s="275">
        <f>SUM(C5,D5,F5)</f>
        <v>1.247207564160288</v>
      </c>
      <c r="I5" s="275">
        <f>SUM(E5,G5)</f>
        <v>5.6930484329581268E-2</v>
      </c>
      <c r="J5" s="472">
        <f>Title20_UEC!AA19/Annual_Cycles!C4</f>
        <v>28.508474576271187</v>
      </c>
      <c r="L5" s="41" t="s">
        <v>125</v>
      </c>
      <c r="M5" s="42">
        <f>X19</f>
        <v>0.22800000000000001</v>
      </c>
      <c r="N5" s="43">
        <f>Y19</f>
        <v>1.69</v>
      </c>
      <c r="O5" s="86">
        <v>0</v>
      </c>
      <c r="P5" s="59">
        <f>Z19</f>
        <v>0.69</v>
      </c>
      <c r="Q5" s="86">
        <v>0</v>
      </c>
      <c r="R5" s="47">
        <f>SUM(M5,N5,P5)</f>
        <v>2.6079999999999997</v>
      </c>
      <c r="S5" s="87">
        <f>SUM(O5,Q5)</f>
        <v>0</v>
      </c>
    </row>
    <row r="6" spans="1:28" ht="15.6" thickTop="1" thickBot="1">
      <c r="A6" s="765"/>
      <c r="B6" s="264" t="s">
        <v>37</v>
      </c>
      <c r="C6" s="263">
        <f t="shared" ref="C6:J6" si="0">C4-C5</f>
        <v>-1.8000000000000044E-2</v>
      </c>
      <c r="D6" s="263">
        <f t="shared" si="0"/>
        <v>1.1730414227825308</v>
      </c>
      <c r="E6" s="263">
        <f t="shared" si="0"/>
        <v>3.0510027511931569E-2</v>
      </c>
      <c r="F6" s="263">
        <f t="shared" si="0"/>
        <v>-2.0553804592525898E-3</v>
      </c>
      <c r="G6" s="274">
        <f t="shared" si="0"/>
        <v>-1.3644199909950416E-3</v>
      </c>
      <c r="H6" s="473">
        <f t="shared" si="0"/>
        <v>1.1529860423232783</v>
      </c>
      <c r="I6" s="473">
        <f t="shared" si="0"/>
        <v>2.914560752093652E-2</v>
      </c>
      <c r="J6" s="474">
        <f t="shared" si="0"/>
        <v>12.691525423728816</v>
      </c>
      <c r="L6" s="34"/>
      <c r="M6" s="34"/>
      <c r="N6" s="34"/>
      <c r="O6" s="34"/>
      <c r="P6" s="34"/>
      <c r="Q6" s="34"/>
      <c r="U6" s="148" t="s">
        <v>212</v>
      </c>
      <c r="X6" s="148">
        <v>1.1200000000000001</v>
      </c>
      <c r="Y6" s="32" t="s">
        <v>214</v>
      </c>
    </row>
    <row r="7" spans="1:28" ht="15.6" thickTop="1" thickBot="1">
      <c r="A7" s="763" t="s">
        <v>16</v>
      </c>
      <c r="B7" s="261" t="s">
        <v>34</v>
      </c>
      <c r="C7" s="52">
        <f>(M4*'2009 RASS'!$O$36)+(M10*'2009 RASS'!$O$35)+(M16*'2009 RASS'!$N$36)+(M22*'2009 RASS'!$N$35)</f>
        <v>0.21</v>
      </c>
      <c r="D7" s="52">
        <f>(N4*'2009 RASS'!$O$36)+(N10*'2009 RASS'!$O$35)+(N16*'2009 RASS'!$N$36)+(N22*'2009 RASS'!$N$35)</f>
        <v>1.0188374851720048</v>
      </c>
      <c r="E7" s="52">
        <f>(O4*'2009 RASS'!$O$36)+(O10*'2009 RASS'!$O$35)+(O16*'2009 RASS'!$N$36)+(O22*'2009 RASS'!$N$35)</f>
        <v>0.10102807433768289</v>
      </c>
      <c r="F7" s="52">
        <f>(P4*'2009 RASS'!$O$36)+(P10*'2009 RASS'!$O$35)+(P16*'2009 RASS'!$N$36)+(P22*'2009 RASS'!$N$35)</f>
        <v>4.0440226703571898E-2</v>
      </c>
      <c r="G7" s="273">
        <f>(Q4*'2009 RASS'!$O$36)+(Q10*'2009 RASS'!$O$35)+(Q16*'2009 RASS'!$N$36)+(Q22*'2009 RASS'!$N$35)</f>
        <v>2.790826413602214E-2</v>
      </c>
      <c r="H7" s="470">
        <f>SUM(C7,D7,F7)</f>
        <v>1.2692777118755767</v>
      </c>
      <c r="I7" s="470">
        <f>SUM(E7,G7)</f>
        <v>0.12893633847370503</v>
      </c>
      <c r="J7" s="471">
        <f>Baseline_UEC!F12</f>
        <v>41.2</v>
      </c>
      <c r="L7" s="33" t="s">
        <v>66</v>
      </c>
      <c r="M7" s="34"/>
      <c r="N7" s="34"/>
      <c r="O7" s="34"/>
      <c r="P7" s="34"/>
      <c r="Q7" s="34"/>
      <c r="U7" s="148" t="s">
        <v>109</v>
      </c>
      <c r="V7" s="148"/>
      <c r="W7" s="148"/>
      <c r="X7" s="149">
        <v>0.75</v>
      </c>
      <c r="Y7" s="32" t="s">
        <v>213</v>
      </c>
    </row>
    <row r="8" spans="1:28" ht="15" thickTop="1">
      <c r="A8" s="764"/>
      <c r="B8" s="262" t="s">
        <v>125</v>
      </c>
      <c r="C8" s="52">
        <f>(M5*'2009 RASS'!$O$36)+(M11*'2009 RASS'!$O$35)+(M17*'2009 RASS'!$N$36)+(M23*'2009 RASS'!$N$35)</f>
        <v>0.22800000000000001</v>
      </c>
      <c r="D8" s="52">
        <f>(N5*'2009 RASS'!$O$36)+(N11*'2009 RASS'!$O$35)+(N17*'2009 RASS'!$N$36)+(N23*'2009 RASS'!$N$35)</f>
        <v>0.47044681692368523</v>
      </c>
      <c r="E8" s="52">
        <f>(O5*'2009 RASS'!$O$36)+(O11*'2009 RASS'!$O$35)+(O17*'2009 RASS'!$N$36)+(O23*'2009 RASS'!$N$35)</f>
        <v>4.6604493159351522E-2</v>
      </c>
      <c r="F8" s="52">
        <f>(P5*'2009 RASS'!$O$36)+(P11*'2009 RASS'!$O$35)+(P17*'2009 RASS'!$N$36)+(P23*'2009 RASS'!$N$35)</f>
        <v>4.8109924871490711E-2</v>
      </c>
      <c r="G8" s="273">
        <f>(Q5*'2009 RASS'!$O$36)+(Q11*'2009 RASS'!$O$35)+(Q17*'2009 RASS'!$N$36)+(Q23*'2009 RASS'!$N$35)</f>
        <v>2.9201719151179639E-2</v>
      </c>
      <c r="H8" s="275">
        <f>SUM(C8,D8,F8)</f>
        <v>0.74655674179517595</v>
      </c>
      <c r="I8" s="275">
        <f>SUM(E8,G8)</f>
        <v>7.5806212310531168E-2</v>
      </c>
      <c r="J8" s="472">
        <f>Title20_UEC!AA19/Annual_Cycles!C4</f>
        <v>28.508474576271187</v>
      </c>
      <c r="L8" s="785"/>
      <c r="M8" s="787" t="s">
        <v>28</v>
      </c>
      <c r="N8" s="788"/>
      <c r="O8" s="788"/>
      <c r="P8" s="788"/>
      <c r="Q8" s="789"/>
      <c r="V8" s="51" t="s">
        <v>49</v>
      </c>
      <c r="X8" s="50">
        <v>3.4119999999999998E-2</v>
      </c>
    </row>
    <row r="9" spans="1:28" ht="40.799999999999997" thickBot="1">
      <c r="A9" s="765"/>
      <c r="B9" s="264" t="s">
        <v>37</v>
      </c>
      <c r="C9" s="263">
        <f t="shared" ref="C9:J9" si="1">C7-C8</f>
        <v>-1.8000000000000016E-2</v>
      </c>
      <c r="D9" s="263">
        <f t="shared" si="1"/>
        <v>0.5483906682483195</v>
      </c>
      <c r="E9" s="263">
        <f t="shared" si="1"/>
        <v>5.4423581178331369E-2</v>
      </c>
      <c r="F9" s="263">
        <f t="shared" si="1"/>
        <v>-7.6696981679188134E-3</v>
      </c>
      <c r="G9" s="274">
        <f t="shared" si="1"/>
        <v>-1.2934550151574992E-3</v>
      </c>
      <c r="H9" s="475">
        <f t="shared" si="1"/>
        <v>0.52272097008040075</v>
      </c>
      <c r="I9" s="475">
        <f t="shared" si="1"/>
        <v>5.3130126163173863E-2</v>
      </c>
      <c r="J9" s="476">
        <f t="shared" si="1"/>
        <v>12.691525423728816</v>
      </c>
      <c r="L9" s="786"/>
      <c r="M9" s="35" t="s">
        <v>29</v>
      </c>
      <c r="N9" s="36" t="s">
        <v>30</v>
      </c>
      <c r="O9" s="37" t="s">
        <v>31</v>
      </c>
      <c r="P9" s="36" t="s">
        <v>32</v>
      </c>
      <c r="Q9" s="37" t="s">
        <v>33</v>
      </c>
      <c r="R9" s="458" t="s">
        <v>42</v>
      </c>
      <c r="S9" s="49" t="s">
        <v>43</v>
      </c>
    </row>
    <row r="10" spans="1:28" ht="16.2" thickTop="1">
      <c r="A10" s="763" t="s">
        <v>301</v>
      </c>
      <c r="B10" s="261" t="s">
        <v>34</v>
      </c>
      <c r="C10" s="52">
        <f>(M4*'2009 RASS'!$O$71)+(M10*'2009 RASS'!$O$70)+(M16*'2009 RASS'!$N$71)+(M22*'2009 RASS'!$N$70)</f>
        <v>0.21000000000000002</v>
      </c>
      <c r="D10" s="52">
        <f>(N4*'2009 RASS'!$O$71)+(N10*'2009 RASS'!$O$70)+(N16*'2009 RASS'!$N$71)+(N22*'2009 RASS'!$N$70)</f>
        <v>0.78837878787878801</v>
      </c>
      <c r="E10" s="52">
        <f>(O4*'2009 RASS'!$O$71)+(O10*'2009 RASS'!$O$70)+(O16*'2009 RASS'!$N$71)+(O22*'2009 RASS'!$N$70)</f>
        <v>0.10984343434343437</v>
      </c>
      <c r="F10" s="52">
        <f>(P4*'2009 RASS'!$O$71)+(P10*'2009 RASS'!$O$70)+(P16*'2009 RASS'!$N$71)+(P22*'2009 RASS'!$N$70)</f>
        <v>6.664141414141414E-3</v>
      </c>
      <c r="G10" s="273">
        <f>(Q4*'2009 RASS'!$O$71)+(Q10*'2009 RASS'!$O$70)+(Q16*'2009 RASS'!$N$71)+(Q22*'2009 RASS'!$N$70)</f>
        <v>2.9655303030303032E-2</v>
      </c>
      <c r="H10" s="470">
        <f>SUM(C10,D10,F10)</f>
        <v>1.0050429292929295</v>
      </c>
      <c r="I10" s="470">
        <f>SUM(E10,G10)</f>
        <v>0.13949873737373741</v>
      </c>
      <c r="J10" s="471">
        <f>Baseline_UEC!F12</f>
        <v>41.2</v>
      </c>
      <c r="L10" s="38" t="s">
        <v>34</v>
      </c>
      <c r="M10" s="39">
        <f>M4</f>
        <v>0.21</v>
      </c>
      <c r="N10" s="85">
        <v>0</v>
      </c>
      <c r="O10" s="57">
        <f>Baseline_UEC!D7</f>
        <v>0.14000000000000001</v>
      </c>
      <c r="P10" s="40">
        <f>P4</f>
        <v>0.57999999999999996</v>
      </c>
      <c r="Q10" s="56">
        <v>0</v>
      </c>
      <c r="R10" s="47">
        <f>SUM(M10,N10,P10)</f>
        <v>0.78999999999999992</v>
      </c>
      <c r="S10" s="87">
        <f>SUM(O10,Q10)</f>
        <v>0.14000000000000001</v>
      </c>
      <c r="V10" s="62" t="s">
        <v>50</v>
      </c>
      <c r="W10" s="45"/>
      <c r="X10" s="45"/>
      <c r="Y10" s="45"/>
      <c r="Z10" s="45"/>
    </row>
    <row r="11" spans="1:28" ht="15" thickBot="1">
      <c r="A11" s="764"/>
      <c r="B11" s="262" t="s">
        <v>125</v>
      </c>
      <c r="C11" s="52">
        <f>(M5*'2009 RASS'!$O$71)+(M11*'2009 RASS'!$O$70)+(M17*'2009 RASS'!$N$71)+(M23*'2009 RASS'!$N$70)</f>
        <v>0.22800000000000004</v>
      </c>
      <c r="D11" s="52">
        <f>(N5*'2009 RASS'!$O$71)+(N11*'2009 RASS'!$O$70)+(N17*'2009 RASS'!$N$71)+(N23*'2009 RASS'!$N$70)</f>
        <v>0.36403282828282829</v>
      </c>
      <c r="E11" s="52">
        <f>(O5*'2009 RASS'!$O$71)+(O11*'2009 RASS'!$O$70)+(O17*'2009 RASS'!$N$71)+(O23*'2009 RASS'!$N$70)</f>
        <v>5.0671039886868691E-2</v>
      </c>
      <c r="F11" s="52">
        <f>(P5*'2009 RASS'!$O$71)+(P11*'2009 RASS'!$O$70)+(P17*'2009 RASS'!$N$71)+(P23*'2009 RASS'!$N$70)</f>
        <v>7.9280303030303031E-3</v>
      </c>
      <c r="G11" s="273">
        <f>(Q5*'2009 RASS'!$O$71)+(Q11*'2009 RASS'!$O$70)+(Q17*'2009 RASS'!$N$71)+(Q23*'2009 RASS'!$N$70)</f>
        <v>3.1029727474747471E-2</v>
      </c>
      <c r="H11" s="275">
        <f>SUM(C11,D11,F11)</f>
        <v>0.59996085858585868</v>
      </c>
      <c r="I11" s="275">
        <f>SUM(E11,G11)</f>
        <v>8.1700767361616161E-2</v>
      </c>
      <c r="J11" s="472">
        <f>Title20_UEC!AA19/Annual_Cycles!C4</f>
        <v>28.508474576271187</v>
      </c>
      <c r="L11" s="84" t="s">
        <v>125</v>
      </c>
      <c r="M11" s="58">
        <f>M5</f>
        <v>0.22800000000000001</v>
      </c>
      <c r="N11" s="60">
        <v>0</v>
      </c>
      <c r="O11" s="61">
        <f>Y19*X8*X6</f>
        <v>6.4582336000000004E-2</v>
      </c>
      <c r="P11" s="59">
        <f>P5</f>
        <v>0.69</v>
      </c>
      <c r="Q11" s="86">
        <v>0</v>
      </c>
      <c r="R11" s="55">
        <f>SUM(M11,N11,P11)</f>
        <v>0.91799999999999993</v>
      </c>
      <c r="S11" s="87">
        <f>SUM(O11,Q11)</f>
        <v>6.4582336000000004E-2</v>
      </c>
      <c r="V11" s="63" t="s">
        <v>234</v>
      </c>
      <c r="W11" s="64"/>
      <c r="X11" s="64"/>
      <c r="Y11" s="64"/>
      <c r="Z11" s="64"/>
      <c r="AA11" s="65"/>
      <c r="AB11" s="65"/>
    </row>
    <row r="12" spans="1:28" ht="15.6" thickTop="1" thickBot="1">
      <c r="A12" s="765"/>
      <c r="B12" s="264" t="s">
        <v>37</v>
      </c>
      <c r="C12" s="263">
        <f t="shared" ref="C12:J12" si="2">C10-C11</f>
        <v>-1.8000000000000016E-2</v>
      </c>
      <c r="D12" s="263">
        <f t="shared" si="2"/>
        <v>0.42434595959595972</v>
      </c>
      <c r="E12" s="457">
        <f t="shared" si="2"/>
        <v>5.9172394456565677E-2</v>
      </c>
      <c r="F12" s="263">
        <f t="shared" si="2"/>
        <v>-1.263888888888889E-3</v>
      </c>
      <c r="G12" s="459">
        <f t="shared" si="2"/>
        <v>-1.3744244444444387E-3</v>
      </c>
      <c r="H12" s="473">
        <f t="shared" si="2"/>
        <v>0.40508207070707081</v>
      </c>
      <c r="I12" s="473">
        <f t="shared" si="2"/>
        <v>5.7797970012121253E-2</v>
      </c>
      <c r="J12" s="476">
        <f t="shared" si="2"/>
        <v>12.691525423728816</v>
      </c>
      <c r="L12" s="34"/>
      <c r="M12" s="34"/>
      <c r="N12" s="34"/>
      <c r="O12" s="34"/>
      <c r="P12" s="34"/>
      <c r="Q12" s="34"/>
      <c r="V12" s="66" t="s">
        <v>51</v>
      </c>
      <c r="W12" s="64"/>
      <c r="X12" s="64"/>
      <c r="Y12" s="64"/>
      <c r="Z12" s="64"/>
      <c r="AA12" s="65"/>
      <c r="AB12" s="65"/>
    </row>
    <row r="13" spans="1:28" ht="15.6" thickTop="1" thickBot="1">
      <c r="A13" s="763" t="s">
        <v>15</v>
      </c>
      <c r="B13" s="261" t="s">
        <v>34</v>
      </c>
      <c r="C13" s="52">
        <f>(M4*'2009 RASS'!$E$71)+(M10*'2009 RASS'!$E$70)+(M16*'2009 RASS'!$D$71)+(M22*'2009 RASS'!$D$70)</f>
        <v>0.21</v>
      </c>
      <c r="D13" s="52">
        <f>(N4*'2009 RASS'!$E$71)+(N10*'2009 RASS'!$E$70)+(N16*'2009 RASS'!$D$71)+(N22*'2009 RASS'!$D$70)</f>
        <v>1.1963579741077131</v>
      </c>
      <c r="E13" s="52">
        <f>(O4*'2009 RASS'!$E$71)+(O10*'2009 RASS'!$E$70)+(O16*'2009 RASS'!$D$71)+(O22*'2009 RASS'!$D$70)</f>
        <v>9.4237673121562893E-2</v>
      </c>
      <c r="F13" s="52">
        <f>(P4*'2009 RASS'!$E$71)+(P10*'2009 RASS'!$E$70)+(P16*'2009 RASS'!$D$71)+(P22*'2009 RASS'!$D$70)</f>
        <v>1.3556434903176555E-2</v>
      </c>
      <c r="G13" s="273">
        <f>(Q4*'2009 RASS'!$E$71)+(Q10*'2009 RASS'!$E$70)+(Q16*'2009 RASS'!$D$71)+(Q22*'2009 RASS'!$D$70)</f>
        <v>2.9298805091215005E-2</v>
      </c>
      <c r="H13" s="470">
        <f>SUM(C13,D13,F13)</f>
        <v>1.4199144090108895</v>
      </c>
      <c r="I13" s="470">
        <f>SUM(E13,G13)</f>
        <v>0.1235364782127779</v>
      </c>
      <c r="J13" s="471">
        <f>Baseline_UEC!F12</f>
        <v>41.2</v>
      </c>
      <c r="L13" s="33" t="s">
        <v>35</v>
      </c>
      <c r="M13" s="34"/>
      <c r="N13" s="34"/>
      <c r="O13" s="34"/>
      <c r="P13" s="34"/>
      <c r="Q13" s="34"/>
      <c r="V13" s="45"/>
      <c r="W13" s="45"/>
      <c r="X13" s="45"/>
      <c r="Y13" s="45"/>
      <c r="Z13" s="45"/>
    </row>
    <row r="14" spans="1:28" ht="15" thickTop="1">
      <c r="A14" s="764"/>
      <c r="B14" s="262" t="s">
        <v>125</v>
      </c>
      <c r="C14" s="52">
        <f>(M5*'2009 RASS'!$E$71)+(M11*'2009 RASS'!$E$70)+(M17*'2009 RASS'!$D$71)+(M23*'2009 RASS'!$D$70)</f>
        <v>0.22799999999999998</v>
      </c>
      <c r="D14" s="52">
        <f>(N5*'2009 RASS'!$E$71)+(N11*'2009 RASS'!$E$70)+(N17*'2009 RASS'!$D$71)+(N23*'2009 RASS'!$D$70)</f>
        <v>0.55241666017541946</v>
      </c>
      <c r="E14" s="52">
        <f>(O5*'2009 RASS'!$E$71)+(O11*'2009 RASS'!$E$70)+(O17*'2009 RASS'!$D$71)+(O23*'2009 RASS'!$D$70)</f>
        <v>4.3472064781392449E-2</v>
      </c>
      <c r="F14" s="52">
        <f>(P5*'2009 RASS'!$E$71)+(P11*'2009 RASS'!$E$70)+(P17*'2009 RASS'!$D$71)+(P23*'2009 RASS'!$D$70)</f>
        <v>1.6127482902054867E-2</v>
      </c>
      <c r="G14" s="273">
        <f>(Q5*'2009 RASS'!$E$71)+(Q11*'2009 RASS'!$E$70)+(Q17*'2009 RASS'!$D$71)+(Q23*'2009 RASS'!$D$70)</f>
        <v>3.0656707044509176E-2</v>
      </c>
      <c r="H14" s="275">
        <f>SUM(C14,D14,F14)</f>
        <v>0.79654414307747434</v>
      </c>
      <c r="I14" s="275">
        <f>SUM(E14,G14)</f>
        <v>7.4128771825901621E-2</v>
      </c>
      <c r="J14" s="472">
        <f>Title20_UEC!AA19/Annual_Cycles!C4</f>
        <v>28.508474576271187</v>
      </c>
      <c r="L14" s="785"/>
      <c r="M14" s="787" t="s">
        <v>28</v>
      </c>
      <c r="N14" s="788"/>
      <c r="O14" s="788"/>
      <c r="P14" s="788"/>
      <c r="Q14" s="789"/>
      <c r="V14" s="67" t="s">
        <v>52</v>
      </c>
      <c r="W14" s="45"/>
      <c r="X14" s="45"/>
      <c r="Y14" s="45"/>
      <c r="Z14" s="45"/>
    </row>
    <row r="15" spans="1:28" ht="40.799999999999997" thickBot="1">
      <c r="A15" s="765"/>
      <c r="B15" s="264" t="s">
        <v>37</v>
      </c>
      <c r="C15" s="263">
        <f t="shared" ref="C15:J15" si="3">C13-C14</f>
        <v>-1.7999999999999988E-2</v>
      </c>
      <c r="D15" s="263">
        <f t="shared" si="3"/>
        <v>0.64394131393229359</v>
      </c>
      <c r="E15" s="457">
        <f t="shared" si="3"/>
        <v>5.0765608340170444E-2</v>
      </c>
      <c r="F15" s="263">
        <f t="shared" si="3"/>
        <v>-2.5710479988783116E-3</v>
      </c>
      <c r="G15" s="459">
        <f t="shared" si="3"/>
        <v>-1.3579019532941709E-3</v>
      </c>
      <c r="H15" s="473">
        <f t="shared" si="3"/>
        <v>0.62337026593341516</v>
      </c>
      <c r="I15" s="473">
        <f t="shared" si="3"/>
        <v>4.9407706386876277E-2</v>
      </c>
      <c r="J15" s="476">
        <f t="shared" si="3"/>
        <v>12.691525423728816</v>
      </c>
      <c r="L15" s="786"/>
      <c r="M15" s="35" t="s">
        <v>29</v>
      </c>
      <c r="N15" s="36" t="s">
        <v>30</v>
      </c>
      <c r="O15" s="37" t="s">
        <v>31</v>
      </c>
      <c r="P15" s="36" t="s">
        <v>32</v>
      </c>
      <c r="Q15" s="37" t="s">
        <v>33</v>
      </c>
      <c r="R15" s="48" t="s">
        <v>42</v>
      </c>
      <c r="S15" s="49" t="s">
        <v>43</v>
      </c>
      <c r="V15" s="775" t="s">
        <v>53</v>
      </c>
      <c r="W15" s="775" t="s">
        <v>54</v>
      </c>
      <c r="X15" s="776" t="s">
        <v>55</v>
      </c>
      <c r="Y15" s="776"/>
      <c r="Z15" s="776"/>
      <c r="AA15" s="770" t="s">
        <v>65</v>
      </c>
      <c r="AB15" s="770"/>
    </row>
    <row r="16" spans="1:28" ht="15" thickTop="1">
      <c r="L16" s="38" t="s">
        <v>34</v>
      </c>
      <c r="M16" s="52">
        <f>M4</f>
        <v>0.21</v>
      </c>
      <c r="N16" s="53">
        <f>N4</f>
        <v>3.66</v>
      </c>
      <c r="O16" s="56">
        <v>0</v>
      </c>
      <c r="P16" s="54">
        <v>0</v>
      </c>
      <c r="Q16" s="57">
        <f>Baseline_UEC!B7</f>
        <v>0.03</v>
      </c>
      <c r="R16" s="55">
        <f>SUM(M16,N16,P16)</f>
        <v>3.87</v>
      </c>
      <c r="S16" s="55">
        <f>SUM(O16,Q16)</f>
        <v>0.03</v>
      </c>
      <c r="V16" s="775"/>
      <c r="W16" s="775"/>
      <c r="X16" s="68" t="s">
        <v>56</v>
      </c>
      <c r="Y16" s="68" t="s">
        <v>17</v>
      </c>
      <c r="Z16" s="68" t="s">
        <v>57</v>
      </c>
      <c r="AA16" s="771" t="s">
        <v>56</v>
      </c>
      <c r="AB16" s="772"/>
    </row>
    <row r="17" spans="12:28" ht="15" thickBot="1">
      <c r="L17" s="41" t="s">
        <v>125</v>
      </c>
      <c r="M17" s="58">
        <f>M5</f>
        <v>0.22800000000000001</v>
      </c>
      <c r="N17" s="59">
        <f>N5</f>
        <v>1.69</v>
      </c>
      <c r="O17" s="61">
        <v>0</v>
      </c>
      <c r="P17" s="60">
        <v>0</v>
      </c>
      <c r="Q17" s="61">
        <f>P5*X8/X7</f>
        <v>3.1390399999999992E-2</v>
      </c>
      <c r="R17" s="55">
        <f>SUM(M17,N17,P17)</f>
        <v>1.9179999999999999</v>
      </c>
      <c r="S17" s="55">
        <f>SUM(O17,Q17)</f>
        <v>3.1390399999999992E-2</v>
      </c>
      <c r="V17" s="69">
        <v>1.26</v>
      </c>
      <c r="W17" s="70">
        <v>3.09</v>
      </c>
      <c r="X17" s="70">
        <v>0.27900000000000003</v>
      </c>
      <c r="Y17" s="70">
        <v>2.16</v>
      </c>
      <c r="Z17" s="70">
        <v>1.24</v>
      </c>
      <c r="AA17" s="773">
        <v>9040</v>
      </c>
      <c r="AB17" s="773"/>
    </row>
    <row r="18" spans="12:28" ht="15" thickTop="1">
      <c r="L18" s="34"/>
      <c r="M18" s="34"/>
      <c r="N18" s="34"/>
      <c r="O18" s="34"/>
      <c r="P18" s="34"/>
      <c r="Q18" s="34"/>
      <c r="V18" s="69">
        <v>1.4</v>
      </c>
      <c r="W18" s="70">
        <v>3.38</v>
      </c>
      <c r="X18" s="70">
        <v>0.28100000000000003</v>
      </c>
      <c r="Y18" s="70">
        <v>2.4300000000000002</v>
      </c>
      <c r="Z18" s="70">
        <v>0.74</v>
      </c>
      <c r="AA18" s="773">
        <v>9890</v>
      </c>
      <c r="AB18" s="773"/>
    </row>
    <row r="19" spans="12:28" ht="15" thickBot="1">
      <c r="L19" s="33" t="s">
        <v>36</v>
      </c>
      <c r="M19" s="34"/>
      <c r="N19" s="34"/>
      <c r="O19" s="34"/>
      <c r="P19" s="34"/>
      <c r="Q19" s="34"/>
      <c r="V19" s="73">
        <v>1.72</v>
      </c>
      <c r="W19" s="74">
        <v>3.38</v>
      </c>
      <c r="X19" s="74">
        <v>0.22800000000000001</v>
      </c>
      <c r="Y19" s="74">
        <v>1.69</v>
      </c>
      <c r="Z19" s="74">
        <v>0.69</v>
      </c>
      <c r="AA19" s="774">
        <v>8410</v>
      </c>
      <c r="AB19" s="774"/>
    </row>
    <row r="20" spans="12:28" ht="15" thickTop="1">
      <c r="L20" s="785"/>
      <c r="M20" s="787" t="s">
        <v>28</v>
      </c>
      <c r="N20" s="788"/>
      <c r="O20" s="788"/>
      <c r="P20" s="788"/>
      <c r="Q20" s="789"/>
      <c r="V20" s="69">
        <v>1.8</v>
      </c>
      <c r="W20" s="70">
        <v>3.76</v>
      </c>
      <c r="X20" s="70">
        <v>8.2000000000000003E-2</v>
      </c>
      <c r="Y20" s="70">
        <v>1.41</v>
      </c>
      <c r="Z20" s="70">
        <v>1.26</v>
      </c>
      <c r="AA20" s="773">
        <v>8820</v>
      </c>
      <c r="AB20" s="773"/>
    </row>
    <row r="21" spans="12:28" ht="40.200000000000003">
      <c r="L21" s="786"/>
      <c r="M21" s="35" t="s">
        <v>29</v>
      </c>
      <c r="N21" s="36" t="s">
        <v>30</v>
      </c>
      <c r="O21" s="37" t="s">
        <v>31</v>
      </c>
      <c r="P21" s="36" t="s">
        <v>32</v>
      </c>
      <c r="Q21" s="37" t="s">
        <v>33</v>
      </c>
      <c r="R21" s="48" t="s">
        <v>42</v>
      </c>
      <c r="S21" s="49" t="s">
        <v>43</v>
      </c>
      <c r="V21" s="69">
        <v>1.8</v>
      </c>
      <c r="W21" s="70">
        <v>3.76</v>
      </c>
      <c r="X21" s="70">
        <v>8.2000000000000003E-2</v>
      </c>
      <c r="Y21" s="70">
        <v>1.41</v>
      </c>
      <c r="Z21" s="70">
        <v>1.26</v>
      </c>
      <c r="AA21" s="773">
        <v>8820</v>
      </c>
      <c r="AB21" s="773"/>
    </row>
    <row r="22" spans="12:28">
      <c r="L22" s="38" t="s">
        <v>34</v>
      </c>
      <c r="M22" s="52">
        <f>M4</f>
        <v>0.21</v>
      </c>
      <c r="N22" s="54">
        <v>0</v>
      </c>
      <c r="O22" s="57">
        <f>Baseline_UEC!D7</f>
        <v>0.14000000000000001</v>
      </c>
      <c r="P22" s="54">
        <v>0</v>
      </c>
      <c r="Q22" s="57">
        <f>Q16</f>
        <v>0.03</v>
      </c>
      <c r="R22" s="55">
        <f>SUM(M22,N22,P22)</f>
        <v>0.21</v>
      </c>
      <c r="S22" s="55">
        <f>SUM(O22,Q22)</f>
        <v>0.17</v>
      </c>
      <c r="V22" s="69">
        <v>1.8</v>
      </c>
      <c r="W22" s="70">
        <v>3.76</v>
      </c>
      <c r="X22" s="70">
        <v>8.2000000000000003E-2</v>
      </c>
      <c r="Y22" s="70">
        <v>1.41</v>
      </c>
      <c r="Z22" s="70">
        <v>1.25</v>
      </c>
      <c r="AA22" s="773">
        <v>8820</v>
      </c>
      <c r="AB22" s="773"/>
    </row>
    <row r="23" spans="12:28" ht="15" thickBot="1">
      <c r="L23" s="41" t="s">
        <v>125</v>
      </c>
      <c r="M23" s="58">
        <f>M5</f>
        <v>0.22800000000000001</v>
      </c>
      <c r="N23" s="60">
        <v>0</v>
      </c>
      <c r="O23" s="61">
        <f>N5*X8*X6</f>
        <v>6.4582336000000004E-2</v>
      </c>
      <c r="P23" s="60">
        <v>0</v>
      </c>
      <c r="Q23" s="61">
        <f>Q17</f>
        <v>3.1390399999999992E-2</v>
      </c>
      <c r="R23" s="55">
        <f>SUM(M23,N23,P23)</f>
        <v>0.22800000000000001</v>
      </c>
      <c r="S23" s="55">
        <f>SUM(O23,Q23)</f>
        <v>9.5972736000000003E-2</v>
      </c>
      <c r="V23" s="71">
        <v>2</v>
      </c>
      <c r="W23" s="72">
        <v>3.86</v>
      </c>
      <c r="X23" s="72">
        <v>8.2000000000000003E-2</v>
      </c>
      <c r="Y23" s="72">
        <v>1.38</v>
      </c>
      <c r="Z23" s="72">
        <v>0.99</v>
      </c>
      <c r="AA23" s="773">
        <v>7360</v>
      </c>
      <c r="AB23" s="773"/>
    </row>
    <row r="24" spans="12:28" ht="15" thickTop="1">
      <c r="L24" s="34"/>
      <c r="M24" s="34"/>
      <c r="N24" s="34"/>
      <c r="O24" s="34"/>
      <c r="P24" s="34"/>
      <c r="Q24" s="34"/>
      <c r="V24" s="69">
        <v>2.2599999999999998</v>
      </c>
      <c r="W24" s="70">
        <v>3.96</v>
      </c>
      <c r="X24" s="70">
        <v>7.6999999999999999E-2</v>
      </c>
      <c r="Y24" s="70">
        <v>1.41</v>
      </c>
      <c r="Z24" s="70">
        <v>0.67</v>
      </c>
      <c r="AA24" s="773">
        <v>5790</v>
      </c>
      <c r="AB24" s="773"/>
    </row>
    <row r="25" spans="12:28" ht="15" thickBot="1">
      <c r="L25" s="75" t="s">
        <v>58</v>
      </c>
    </row>
    <row r="26" spans="12:28" ht="30.75" customHeight="1" thickTop="1">
      <c r="L26" s="777"/>
      <c r="M26" s="779" t="s">
        <v>59</v>
      </c>
      <c r="N26" s="780"/>
    </row>
    <row r="27" spans="12:28" ht="15.75" customHeight="1">
      <c r="L27" s="778"/>
      <c r="M27" s="781" t="s">
        <v>60</v>
      </c>
      <c r="N27" s="782"/>
      <c r="V27" s="98"/>
    </row>
    <row r="28" spans="12:28">
      <c r="L28" s="81" t="s">
        <v>34</v>
      </c>
      <c r="M28" s="783">
        <f>Baseline_UEC!F12</f>
        <v>41.2</v>
      </c>
      <c r="N28" s="784"/>
      <c r="V28" s="98"/>
    </row>
    <row r="29" spans="12:28" ht="15" thickBot="1">
      <c r="L29" s="82" t="s">
        <v>126</v>
      </c>
      <c r="M29" s="766">
        <f>AA19/Annual_Cycles!C4</f>
        <v>28.508474576271187</v>
      </c>
      <c r="N29" s="767"/>
      <c r="V29" s="152"/>
    </row>
    <row r="30" spans="12:28" ht="16.8" thickTop="1" thickBot="1">
      <c r="L30" s="83" t="s">
        <v>37</v>
      </c>
      <c r="M30" s="768">
        <f>M28-M29</f>
        <v>12.691525423728816</v>
      </c>
      <c r="N30" s="769"/>
    </row>
    <row r="31" spans="12:28" ht="15" thickTop="1"/>
  </sheetData>
  <mergeCells count="32">
    <mergeCell ref="L26:L27"/>
    <mergeCell ref="M26:N26"/>
    <mergeCell ref="M27:N27"/>
    <mergeCell ref="M28:N28"/>
    <mergeCell ref="L2:L3"/>
    <mergeCell ref="M2:Q2"/>
    <mergeCell ref="L8:L9"/>
    <mergeCell ref="M8:Q8"/>
    <mergeCell ref="L14:L15"/>
    <mergeCell ref="M14:Q14"/>
    <mergeCell ref="L20:L21"/>
    <mergeCell ref="M20:Q20"/>
    <mergeCell ref="M29:N29"/>
    <mergeCell ref="M30:N30"/>
    <mergeCell ref="AA15:AB15"/>
    <mergeCell ref="AA16:AB16"/>
    <mergeCell ref="AA17:AB17"/>
    <mergeCell ref="AA18:AB18"/>
    <mergeCell ref="AA19:AB19"/>
    <mergeCell ref="AA20:AB20"/>
    <mergeCell ref="AA21:AB21"/>
    <mergeCell ref="AA22:AB22"/>
    <mergeCell ref="AA23:AB23"/>
    <mergeCell ref="AA24:AB24"/>
    <mergeCell ref="W15:W16"/>
    <mergeCell ref="X15:Z15"/>
    <mergeCell ref="V15:V16"/>
    <mergeCell ref="C2:I2"/>
    <mergeCell ref="A4:A6"/>
    <mergeCell ref="A7:A9"/>
    <mergeCell ref="A10:A12"/>
    <mergeCell ref="A13:A15"/>
  </mergeCells>
  <hyperlinks>
    <hyperlink ref="V12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10</vt:i4>
      </vt:variant>
    </vt:vector>
  </HeadingPairs>
  <TitlesOfParts>
    <vt:vector size="29" baseType="lpstr">
      <vt:lpstr>EAR Team Additions</vt:lpstr>
      <vt:lpstr>Summary</vt:lpstr>
      <vt:lpstr>PG&amp;E Savings</vt:lpstr>
      <vt:lpstr>SCE Savings</vt:lpstr>
      <vt:lpstr>SCG Savings</vt:lpstr>
      <vt:lpstr>SDG&amp;E Savings</vt:lpstr>
      <vt:lpstr>Net Savings Eval Schematic</vt:lpstr>
      <vt:lpstr>Measure UEC</vt:lpstr>
      <vt:lpstr>Title20_UEC</vt:lpstr>
      <vt:lpstr>Baseline_UEC</vt:lpstr>
      <vt:lpstr>Interactive Effects</vt:lpstr>
      <vt:lpstr>Annual_Cycles</vt:lpstr>
      <vt:lpstr>2009 RASS</vt:lpstr>
      <vt:lpstr>Estimated Participants_rev</vt:lpstr>
      <vt:lpstr>EARTeamReviewAlts</vt:lpstr>
      <vt:lpstr>EARTeamUECandUESCalcs</vt:lpstr>
      <vt:lpstr>SCE MFAM Laundry Field Research</vt:lpstr>
      <vt:lpstr>EARTeamReviewBackup</vt:lpstr>
      <vt:lpstr>EARTeamReviewAltsMFAM</vt:lpstr>
      <vt:lpstr>'2009 RASS'!Print_Area</vt:lpstr>
      <vt:lpstr>Summary!Print_Area</vt:lpstr>
      <vt:lpstr>t.EARTeamUECCalcs</vt:lpstr>
      <vt:lpstr>t.MFamCommonAnnualUES</vt:lpstr>
      <vt:lpstr>EARTeamReviewAltsMFAM!t.MFAMCommonUESSummary</vt:lpstr>
      <vt:lpstr>t.OverallIEF</vt:lpstr>
      <vt:lpstr>t.ResAnnualUES</vt:lpstr>
      <vt:lpstr>t.ResUESSummary</vt:lpstr>
      <vt:lpstr>v.EARCDF</vt:lpstr>
      <vt:lpstr>v.EARMFAMCDF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Chou, Ben</dc:creator>
  <cp:lastModifiedBy>KJM</cp:lastModifiedBy>
  <cp:lastPrinted>2015-06-05T22:33:50Z</cp:lastPrinted>
  <dcterms:created xsi:type="dcterms:W3CDTF">2014-12-05T21:51:38Z</dcterms:created>
  <dcterms:modified xsi:type="dcterms:W3CDTF">2016-01-08T19:30:17Z</dcterms:modified>
</cp:coreProperties>
</file>